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732" firstSheet="1" activeTab="1"/>
  </bookViews>
  <sheets>
    <sheet name="Estado de Situación Financiera " sheetId="1" r:id="rId1"/>
    <sheet name="Estado Rendimiento Financiero" sheetId="2" r:id="rId2"/>
    <sheet name="ECANP-Cambio Patrimonio" sheetId="3" r:id="rId3"/>
    <sheet name="Flujo de Efectivo" sheetId="4" r:id="rId4"/>
    <sheet name="Estado Comparativo" sheetId="5" r:id="rId5"/>
    <sheet name="Célula No.14 AF DIGECOG" sheetId="6" r:id="rId6"/>
    <sheet name="Notas Estado de Situación" sheetId="7" r:id="rId7"/>
    <sheet name="Notas Estado de Resultados" sheetId="8" r:id="rId8"/>
    <sheet name="Depreciación Acumulada" sheetId="9" r:id="rId9"/>
    <sheet name="Relación de Ingresos 2023" sheetId="10" r:id="rId10"/>
    <sheet name="Nota a los Ingresos 2023" sheetId="11" r:id="rId11"/>
    <sheet name="Relación de Cuentas Por Pagar" sheetId="12" r:id="rId12"/>
    <sheet name="Viáticos Por Pagar" sheetId="13" r:id="rId13"/>
    <sheet name="Relación de Notas de Crédito" sheetId="14" r:id="rId14"/>
    <sheet name="Compensación de Compra" sheetId="15" r:id="rId15"/>
  </sheets>
  <externalReferences>
    <externalReference r:id="rId18"/>
    <externalReference r:id="rId19"/>
    <externalReference r:id="rId20"/>
    <externalReference r:id="rId21"/>
    <externalReference r:id="rId22"/>
    <externalReference r:id="rId23"/>
    <externalReference r:id="rId24"/>
  </externalReferences>
  <definedNames>
    <definedName name="_xlnm.Print_Area" localSheetId="0">'Estado de Situación Financiera '!$A$1:$J$74</definedName>
    <definedName name="_xlnm.Print_Area" localSheetId="3">'Flujo de Efectivo'!$A$1:$I$79</definedName>
    <definedName name="_xlnm.Print_Area" localSheetId="10">'Nota a los Ingresos 2023'!$A$1:$U$31</definedName>
    <definedName name="_xlnm.Print_Area" localSheetId="7">'Notas Estado de Resultados'!$A$1:$AT$402</definedName>
    <definedName name="_xlnm.Print_Area" localSheetId="6">'Notas Estado de Situación'!$A$1:$AM$744</definedName>
    <definedName name="_xlnm.Print_Area" localSheetId="9">'Relación de Ingresos 2023'!$A$1:$J$81</definedName>
    <definedName name="_xlnm.Print_Area" localSheetId="12">'Viáticos Por Pagar'!$A$1:$E$40</definedName>
    <definedName name="_xlnm.Print_Titles" localSheetId="8">'Depreciación Acumulada'!$1:$3</definedName>
    <definedName name="_xlnm.Print_Titles" localSheetId="7">'Notas Estado de Resultados'!$1:$7</definedName>
    <definedName name="_xlnm.Print_Titles" localSheetId="6">'Notas Estado de Situación'!$1:$9</definedName>
    <definedName name="_xlnm.Print_Titles" localSheetId="11">'Relación de Cuentas Por Pagar'!$1:$6</definedName>
    <definedName name="_xlnm.Print_Titles" localSheetId="13">'Relación de Notas de Crédito'!$1:$5</definedName>
  </definedNames>
  <calcPr fullCalcOnLoad="1"/>
</workbook>
</file>

<file path=xl/comments14.xml><?xml version="1.0" encoding="utf-8"?>
<comments xmlns="http://schemas.openxmlformats.org/spreadsheetml/2006/main">
  <authors>
    <author>Yenny Acosta Hernandez</author>
  </authors>
  <commentList>
    <comment ref="D47" authorId="0">
      <text>
        <r>
          <rPr>
            <b/>
            <sz val="9"/>
            <rFont val="Tahoma"/>
            <family val="2"/>
          </rPr>
          <t>Yenny Acosta Hernandez:</t>
        </r>
        <r>
          <rPr>
            <sz val="9"/>
            <rFont val="Tahoma"/>
            <family val="2"/>
          </rPr>
          <t xml:space="preserve">
Usada en Octubre del 2023</t>
        </r>
      </text>
    </comment>
    <comment ref="D52" authorId="0">
      <text>
        <r>
          <rPr>
            <b/>
            <sz val="9"/>
            <rFont val="Tahoma"/>
            <family val="2"/>
          </rPr>
          <t>Yenny Acosta Hernandez:</t>
        </r>
        <r>
          <rPr>
            <sz val="9"/>
            <rFont val="Tahoma"/>
            <family val="2"/>
          </rPr>
          <t xml:space="preserve">
Utilizado en Octubre del 2023</t>
        </r>
      </text>
    </comment>
    <comment ref="D54" authorId="0">
      <text>
        <r>
          <rPr>
            <b/>
            <sz val="9"/>
            <rFont val="Tahoma"/>
            <family val="2"/>
          </rPr>
          <t>Yenny Acosta Hernandez:</t>
        </r>
        <r>
          <rPr>
            <sz val="9"/>
            <rFont val="Tahoma"/>
            <family val="2"/>
          </rPr>
          <t xml:space="preserve">
Usado en Diciembre del 2023
</t>
        </r>
      </text>
    </comment>
    <comment ref="D67" authorId="0">
      <text>
        <r>
          <rPr>
            <b/>
            <sz val="9"/>
            <rFont val="Tahoma"/>
            <family val="2"/>
          </rPr>
          <t>Yenny Acosta Hernandez:</t>
        </r>
        <r>
          <rPr>
            <sz val="9"/>
            <rFont val="Tahoma"/>
            <family val="2"/>
          </rPr>
          <t xml:space="preserve">
Utilizado en Octubre del 2023.RD$1,060.00 de Noviembre del 2023.RD$1,060.00 usado en Diciembre del 2023</t>
        </r>
      </text>
    </comment>
    <comment ref="Q67" authorId="0">
      <text>
        <r>
          <rPr>
            <b/>
            <sz val="9"/>
            <rFont val="Tahoma"/>
            <family val="2"/>
          </rPr>
          <t>Yenny Acosta Hernandez:</t>
        </r>
        <r>
          <rPr>
            <sz val="9"/>
            <rFont val="Tahoma"/>
            <family val="2"/>
          </rPr>
          <t xml:space="preserve">
Se usan RD$1,060.00 en Noviembre del 2023</t>
        </r>
      </text>
    </comment>
    <comment ref="D76" authorId="0">
      <text>
        <r>
          <rPr>
            <b/>
            <sz val="9"/>
            <rFont val="Tahoma"/>
            <family val="2"/>
          </rPr>
          <t>Yenny Acosta Hernandez:</t>
        </r>
        <r>
          <rPr>
            <sz val="9"/>
            <rFont val="Tahoma"/>
            <family val="2"/>
          </rPr>
          <t xml:space="preserve">
Usado RD$4,755.00 en Noviembre del 2023</t>
        </r>
      </text>
    </comment>
    <comment ref="Q95" authorId="0">
      <text>
        <r>
          <rPr>
            <b/>
            <sz val="9"/>
            <rFont val="Tahoma"/>
            <family val="2"/>
          </rPr>
          <t>Yenny Acosta Hernandez:</t>
        </r>
        <r>
          <rPr>
            <sz val="9"/>
            <rFont val="Tahoma"/>
            <family val="2"/>
          </rPr>
          <t xml:space="preserve">
Se usa RD$4,515.00 y RD$23,775.00 en Noviembre del 2023.RD$4,755.00 se usó en Diciembre del 2023</t>
        </r>
      </text>
    </comment>
  </commentList>
</comments>
</file>

<file path=xl/comments6.xml><?xml version="1.0" encoding="utf-8"?>
<comments xmlns="http://schemas.openxmlformats.org/spreadsheetml/2006/main">
  <authors>
    <author>Yenny Acosta Hernandez</author>
  </authors>
  <commentList>
    <comment ref="D4" authorId="0">
      <text>
        <r>
          <rPr>
            <b/>
            <sz val="9"/>
            <rFont val="Tahoma"/>
            <family val="2"/>
          </rPr>
          <t>Yenny Acosta Hernandez:</t>
        </r>
        <r>
          <rPr>
            <sz val="9"/>
            <rFont val="Tahoma"/>
            <family val="2"/>
          </rPr>
          <t xml:space="preserve">
Se adiciona el Sistema de Tratamiento de Agua por valor de RD$965,182.00</t>
        </r>
      </text>
    </comment>
    <comment ref="D9" authorId="0">
      <text>
        <r>
          <rPr>
            <b/>
            <sz val="9"/>
            <rFont val="Tahoma"/>
            <family val="2"/>
          </rPr>
          <t>Yenny Acosta Hernandez:</t>
        </r>
        <r>
          <rPr>
            <sz val="9"/>
            <rFont val="Tahoma"/>
            <family val="2"/>
          </rPr>
          <t xml:space="preserve">
Se adiciona RD$928,361.99 de Sistema Tratamiento de Agua</t>
        </r>
      </text>
    </comment>
  </commentList>
</comments>
</file>

<file path=xl/comments7.xml><?xml version="1.0" encoding="utf-8"?>
<comments xmlns="http://schemas.openxmlformats.org/spreadsheetml/2006/main">
  <authors>
    <author>Yenny Acosta Hernandez</author>
  </authors>
  <commentList>
    <comment ref="O217" authorId="0">
      <text>
        <r>
          <rPr>
            <b/>
            <sz val="9"/>
            <rFont val="Tahoma"/>
            <family val="2"/>
          </rPr>
          <t>Yenny Acosta Hernandez:</t>
        </r>
        <r>
          <rPr>
            <sz val="9"/>
            <rFont val="Tahoma"/>
            <family val="2"/>
          </rPr>
          <t xml:space="preserve">
Incluye Contenedor</t>
        </r>
      </text>
    </comment>
  </commentList>
</comments>
</file>

<file path=xl/comments8.xml><?xml version="1.0" encoding="utf-8"?>
<comments xmlns="http://schemas.openxmlformats.org/spreadsheetml/2006/main">
  <authors>
    <author>Yenny Acosta Hernandez</author>
  </authors>
  <commentList>
    <comment ref="U296" authorId="0">
      <text>
        <r>
          <rPr>
            <b/>
            <sz val="9"/>
            <rFont val="Tahoma"/>
            <family val="2"/>
          </rPr>
          <t>Yenny Acosta Hernandez:</t>
        </r>
        <r>
          <rPr>
            <sz val="9"/>
            <rFont val="Tahoma"/>
            <family val="2"/>
          </rPr>
          <t xml:space="preserve">
PARA REGISTRAR FACTURA CON NCF B1500262768, POR SERVICIO DE ENERGIA ELECTRICA MES DE DICIEMBRE 2021.DEL 02/11/2021-02/12/2021.</t>
        </r>
      </text>
    </comment>
    <comment ref="W305" authorId="0">
      <text>
        <r>
          <rPr>
            <b/>
            <sz val="9"/>
            <rFont val="Tahoma"/>
            <family val="2"/>
          </rPr>
          <t>Yenny Acosta Hernandez:</t>
        </r>
        <r>
          <rPr>
            <sz val="9"/>
            <rFont val="Tahoma"/>
            <family val="2"/>
          </rPr>
          <t xml:space="preserve">
LLEVADA A INVENTARIO</t>
        </r>
      </text>
    </comment>
    <comment ref="V311" authorId="0">
      <text>
        <r>
          <rPr>
            <b/>
            <sz val="9"/>
            <rFont val="Tahoma"/>
            <family val="2"/>
          </rPr>
          <t>Yenny Acosta Hernandez:</t>
        </r>
        <r>
          <rPr>
            <sz val="9"/>
            <rFont val="Tahoma"/>
            <family val="2"/>
          </rPr>
          <t xml:space="preserve">
Liq. Transferencias No.099/2022</t>
        </r>
      </text>
    </comment>
    <comment ref="V312" authorId="0">
      <text>
        <r>
          <rPr>
            <b/>
            <sz val="9"/>
            <rFont val="Tahoma"/>
            <family val="2"/>
          </rPr>
          <t>Yenny Acosta Hernandez:</t>
        </r>
        <r>
          <rPr>
            <sz val="9"/>
            <rFont val="Tahoma"/>
            <family val="2"/>
          </rPr>
          <t xml:space="preserve">
TRF-2022/159
</t>
        </r>
      </text>
    </comment>
  </commentList>
</comments>
</file>

<file path=xl/comments9.xml><?xml version="1.0" encoding="utf-8"?>
<comments xmlns="http://schemas.openxmlformats.org/spreadsheetml/2006/main">
  <authors>
    <author>Yenny Acosta Hernandez</author>
  </authors>
  <commentList>
    <comment ref="E18" authorId="0">
      <text>
        <r>
          <rPr>
            <b/>
            <sz val="9"/>
            <rFont val="Tahoma"/>
            <family val="2"/>
          </rPr>
          <t>Yenny Acosta Hernandez:</t>
        </r>
        <r>
          <rPr>
            <sz val="9"/>
            <rFont val="Tahoma"/>
            <family val="2"/>
          </rPr>
          <t xml:space="preserve">
Incluye  la Mesa de Examen de (1) Posición y el Monitor de Signos Vitales.Incluye Contenedor
</t>
        </r>
      </text>
    </comment>
    <comment ref="E168" authorId="0">
      <text>
        <r>
          <rPr>
            <b/>
            <sz val="9"/>
            <rFont val="Tahoma"/>
            <family val="2"/>
          </rPr>
          <t>Yenny Acosta Hernandez:</t>
        </r>
        <r>
          <rPr>
            <sz val="9"/>
            <rFont val="Tahoma"/>
            <family val="2"/>
          </rPr>
          <t xml:space="preserve">
Incluye Cámara Digital.Incluye Micrófono</t>
        </r>
      </text>
    </comment>
  </commentList>
</comments>
</file>

<file path=xl/sharedStrings.xml><?xml version="1.0" encoding="utf-8"?>
<sst xmlns="http://schemas.openxmlformats.org/spreadsheetml/2006/main" count="1870" uniqueCount="1384">
  <si>
    <t>Materiales y Suministros</t>
  </si>
  <si>
    <t>OFICINA NACIONAL DE LA PROPIEDAD INDUSTRIAL</t>
  </si>
  <si>
    <t>Gastos Financieros</t>
  </si>
  <si>
    <t>Gastos de Depreciación</t>
  </si>
  <si>
    <t>Abanicos</t>
  </si>
  <si>
    <t>Camionetas</t>
  </si>
  <si>
    <t>Motores</t>
  </si>
  <si>
    <t>Escopetas</t>
  </si>
  <si>
    <t>Equipos de Comunicacion</t>
  </si>
  <si>
    <t>Equipos de Cocina</t>
  </si>
  <si>
    <t>Neveras O-Central</t>
  </si>
  <si>
    <t>Neveras O-Este</t>
  </si>
  <si>
    <t>Neveras O-Norte</t>
  </si>
  <si>
    <t>Microondas O-Central</t>
  </si>
  <si>
    <t>Microondas O-Norte</t>
  </si>
  <si>
    <t>Microondas O-Este</t>
  </si>
  <si>
    <t>Lavadoras</t>
  </si>
  <si>
    <t>Inversores O-Central</t>
  </si>
  <si>
    <t>Inversores O-Este</t>
  </si>
  <si>
    <t>Inversores O-Norte</t>
  </si>
  <si>
    <t>Obras de Arte</t>
  </si>
  <si>
    <t>Activos Diferidos</t>
  </si>
  <si>
    <t>Activos Intangibles</t>
  </si>
  <si>
    <t>Onapi Central</t>
  </si>
  <si>
    <t>Onapi Norte</t>
  </si>
  <si>
    <t>Onapi Este</t>
  </si>
  <si>
    <t>Menos:</t>
  </si>
  <si>
    <t>RELACION DEPRECIACION ACUMULADA</t>
  </si>
  <si>
    <t>MUEBLES Y ENSERES-DEPRECIACION ACUMULADA</t>
  </si>
  <si>
    <t>Muebles y Enseres</t>
  </si>
  <si>
    <t>Maquinas y Fax</t>
  </si>
  <si>
    <t>Fotocopiadoras</t>
  </si>
  <si>
    <t>Aires Acondicionados</t>
  </si>
  <si>
    <t>Máquinas y Sumadoras</t>
  </si>
  <si>
    <t>Equipo de Educación y Recreativo</t>
  </si>
  <si>
    <t>Otros Mobiliarios y Equipos Onapi S.C.</t>
  </si>
  <si>
    <t>Otras Depreciación Acumuladas Mob. Y Equipos</t>
  </si>
  <si>
    <t>Total Depreciación Muebles de Oficina S.C.</t>
  </si>
  <si>
    <t>Total Depreciación Muebles de Oficina Santiago</t>
  </si>
  <si>
    <t>Otros Mobiliarios y Equipos Onapi S.F.M.</t>
  </si>
  <si>
    <t>Total Depreciación Muebles de Oficina San Francisco de Macoris</t>
  </si>
  <si>
    <t>EQUIPO DE TRANSPORTE-DEPRECIACION ACUMULADA</t>
  </si>
  <si>
    <t>Jeepeta y Minibus</t>
  </si>
  <si>
    <t>Total Depreciación Equipos de Transporte</t>
  </si>
  <si>
    <t>EQUIPO DE COMPUTOS S.C.-DEPRECIACION ACUMULADA</t>
  </si>
  <si>
    <t>Servidores C.P.U.</t>
  </si>
  <si>
    <t>Impresoras</t>
  </si>
  <si>
    <t>Scanner</t>
  </si>
  <si>
    <t>Monitores</t>
  </si>
  <si>
    <t>Dep. Otros Mobiliarios Equipos  de Computos</t>
  </si>
  <si>
    <t>Total Depreciación Equipos de Computos S.C.</t>
  </si>
  <si>
    <t>EQUIPO DE COMPUTOS NORTE-DEPRECIACION ACUMULADA</t>
  </si>
  <si>
    <t>Total Depreciación Equipos de Computos Norte</t>
  </si>
  <si>
    <t>Dep. Otro Equipos de Computos</t>
  </si>
  <si>
    <t>Total Depreciación Equipos de Computos Oriental</t>
  </si>
  <si>
    <t>Total Depreciación Equipos de Computos S.F.M.</t>
  </si>
  <si>
    <t>EQUIPO DE SEGURIDAD-DEPRECIACION ACUMULADA</t>
  </si>
  <si>
    <t>Escopetas Onapi S.C.</t>
  </si>
  <si>
    <t>Dep. Otros Equipos de Seguridad</t>
  </si>
  <si>
    <t>Total Depreciación Equipos de Seguridad</t>
  </si>
  <si>
    <t>EQUIPO DE COMUNICACION-DEPRECIACION ACUMULADA</t>
  </si>
  <si>
    <t>Equipos de Comunicación</t>
  </si>
  <si>
    <t>Total Depreciación Equipos de Comunicación</t>
  </si>
  <si>
    <t>EQUIPO DE COCINA-DEPRECIACION ACUMULADA</t>
  </si>
  <si>
    <t>Neveras Onapi S.C.</t>
  </si>
  <si>
    <t>Neveras Onapi Oriental</t>
  </si>
  <si>
    <t>GENERADORES ELECTRICOS-DEPRECIACION ACUMULADA</t>
  </si>
  <si>
    <t>Inversores Onapi S.C.</t>
  </si>
  <si>
    <t>Inversores Onapi Oriental</t>
  </si>
  <si>
    <t>Inversores Onapi Santiago</t>
  </si>
  <si>
    <t>Total Depreciación Generadores Eléctricos</t>
  </si>
  <si>
    <t>MAQUINARIAS Y EQUIPOS -DEPRECIACION ACUMULADA</t>
  </si>
  <si>
    <t>Plantas Eléctricas Onapi Central</t>
  </si>
  <si>
    <t>Otras Depreciaciones Acum. Equipos Eléctricos</t>
  </si>
  <si>
    <t>Depreciación Acumulada Sistema de Tratamiento de Agua</t>
  </si>
  <si>
    <t>Total Depreciación Maquinarias y Equipos</t>
  </si>
  <si>
    <t>AMORTIZACION ACTIVOS INTANGIBLES</t>
  </si>
  <si>
    <t>Sistemas</t>
  </si>
  <si>
    <t>Programas de Computos</t>
  </si>
  <si>
    <t>Total Depreciación Activos Intangibles</t>
  </si>
  <si>
    <t xml:space="preserve">       Oficina Nacional de La Propiedad Industrial </t>
  </si>
  <si>
    <t xml:space="preserve">                      O N A P I</t>
  </si>
  <si>
    <t xml:space="preserve">                  Estado de Resultados </t>
  </si>
  <si>
    <t>Notas a los Estados Financieros</t>
  </si>
  <si>
    <t xml:space="preserve">         Valores en RD$</t>
  </si>
  <si>
    <t>Efectivo en Caja y Banco</t>
  </si>
  <si>
    <t>El balance de esta cuenta se compone de las siguientes partidas,</t>
  </si>
  <si>
    <t>Cajas</t>
  </si>
  <si>
    <t>Caja General</t>
  </si>
  <si>
    <t>Caja Chica Juridica</t>
  </si>
  <si>
    <t>Caja Chica US$</t>
  </si>
  <si>
    <t>Fondo para Celebraciones</t>
  </si>
  <si>
    <t>Fondo Operacional</t>
  </si>
  <si>
    <t>Sub-Total Cajas Chicas y Fondos</t>
  </si>
  <si>
    <t>Total en Cajas</t>
  </si>
  <si>
    <t>Banco de Reservas Cta. 010-241433-5</t>
  </si>
  <si>
    <t>*</t>
  </si>
  <si>
    <t>Banco de Reservas Cta. 010-250249-8</t>
  </si>
  <si>
    <t>Banco de Reservas Cta. 010-249554-8 Nominas</t>
  </si>
  <si>
    <t>Total de Efectivos en Bancos</t>
  </si>
  <si>
    <t>Total en Cajas  y Bancos</t>
  </si>
  <si>
    <t>Cuentas por Cobrar</t>
  </si>
  <si>
    <t>Esta Cuenta se presenta Así,</t>
  </si>
  <si>
    <t>Documentos Por Cobrar Funcionarios</t>
  </si>
  <si>
    <t>Cuentas Por Cobrar Funcionarios y Empleados</t>
  </si>
  <si>
    <t>Cuentas Por Cobrar Clientes</t>
  </si>
  <si>
    <t>Otras Cuentas Por Cobrar</t>
  </si>
  <si>
    <t>Reclamaciones a Ing. Dominga Acevedo</t>
  </si>
  <si>
    <t>**</t>
  </si>
  <si>
    <t>Reclamaciones a la DGII</t>
  </si>
  <si>
    <t>Total Cuentas por Cobrar</t>
  </si>
  <si>
    <t>Gastos Pagados por Anticipado</t>
  </si>
  <si>
    <t>Este Balance se Distribuye de la Forma siguiente,</t>
  </si>
  <si>
    <t>Seguro Riesgos Generales</t>
  </si>
  <si>
    <t>Seguro de Fidelidad</t>
  </si>
  <si>
    <t>Deposito Alquiler Oficina San Francisco de Macoris</t>
  </si>
  <si>
    <t>Total gastos pagados por Anticipado</t>
  </si>
  <si>
    <t>Mobiliarios y Equipos de Oficina</t>
  </si>
  <si>
    <t xml:space="preserve">El balance de esta cuenta representa el valor histórico de cada activo, así como </t>
  </si>
  <si>
    <t>Maquinas y Faxes</t>
  </si>
  <si>
    <t>Equipo Educacional y Recreativo</t>
  </si>
  <si>
    <t>Otros Mobiliarios y Equipos de Oficina</t>
  </si>
  <si>
    <t>Depreciación Acumulada</t>
  </si>
  <si>
    <t>Sub-Total</t>
  </si>
  <si>
    <t>Onapi  San Francisco de Macoris</t>
  </si>
  <si>
    <t>Lavadora</t>
  </si>
  <si>
    <t>Otros Equipos de Cocina</t>
  </si>
  <si>
    <t>Total Mobiliarios y Equipos de Oficina Netos</t>
  </si>
  <si>
    <t>Equipos de Transporte</t>
  </si>
  <si>
    <t>Equipos de Computos</t>
  </si>
  <si>
    <t>Onapi-Central</t>
  </si>
  <si>
    <t>Servidores CPU</t>
  </si>
  <si>
    <t>Scaner</t>
  </si>
  <si>
    <t>Otros Equipos de Computos</t>
  </si>
  <si>
    <t>Onapi-Este</t>
  </si>
  <si>
    <t>Onapi-Norte</t>
  </si>
  <si>
    <t>Onapi-San Francisco de Macoris</t>
  </si>
  <si>
    <t>Total Equipos de Computos Netos</t>
  </si>
  <si>
    <t xml:space="preserve">Maquinarias y Equipos </t>
  </si>
  <si>
    <t>Equipos de Seguridad</t>
  </si>
  <si>
    <t>Otros Equipos de Seguridad</t>
  </si>
  <si>
    <t>Generadores Electricos</t>
  </si>
  <si>
    <t>Otros Generadores Eléctricos</t>
  </si>
  <si>
    <t>Plantas Electricas</t>
  </si>
  <si>
    <t>Sistema de pre-Tratamiento de agua</t>
  </si>
  <si>
    <t>Equipos Varios</t>
  </si>
  <si>
    <t>Total</t>
  </si>
  <si>
    <t>Total Maquinarias y Equipos Netos</t>
  </si>
  <si>
    <t xml:space="preserve">         Al 31 de Diciembre 2011</t>
  </si>
  <si>
    <t>Esta está compuesta de las siguientes partidas:</t>
  </si>
  <si>
    <t>Mejoras en Propiedades del Estado</t>
  </si>
  <si>
    <t>Amortización Acumulada</t>
  </si>
  <si>
    <t xml:space="preserve">para operar Sistemas Implementados en La Onapi, así como las compra de dichos </t>
  </si>
  <si>
    <t>Sistemas y su Implementación.</t>
  </si>
  <si>
    <t>Telefonos, Fax y Cable</t>
  </si>
  <si>
    <t>Licencias de Programas</t>
  </si>
  <si>
    <t>Sistema Great Plains</t>
  </si>
  <si>
    <t>Sistema Iso 9001-2000</t>
  </si>
  <si>
    <t>Sistema Atención Servicios al Cliente</t>
  </si>
  <si>
    <t>Sistema de Seguridad</t>
  </si>
  <si>
    <t>Sistema de Gestion de Contenido de Imagen</t>
  </si>
  <si>
    <t>Sistema de Consultoria Traslado Aplicación</t>
  </si>
  <si>
    <t>Sistema Filling Cabinet IS-PKM</t>
  </si>
  <si>
    <t>Politicas Normas Y Procedimientos</t>
  </si>
  <si>
    <t>Este Balance se Compone de las Siguientes Partidas:</t>
  </si>
  <si>
    <t>Certificación por Pagar Arq. Janet Martinez</t>
  </si>
  <si>
    <t>Certificación por Pagar Ing. David Vargas</t>
  </si>
  <si>
    <t>Certificación por Pagar Arq. Juana Lasose</t>
  </si>
  <si>
    <t>Cuentas por Pagar a Terceros</t>
  </si>
  <si>
    <t>Proveedores Internacionales</t>
  </si>
  <si>
    <t>Ayuda y/o Aporte Económico</t>
  </si>
  <si>
    <t>Sueldos Por Pagar Funcionarios y Empleados</t>
  </si>
  <si>
    <t>Notas de Creditos Clientes</t>
  </si>
  <si>
    <t>Nota:13</t>
  </si>
  <si>
    <t>Acumulaciones y Retenciones Por Pagar</t>
  </si>
  <si>
    <t>Este Balance se distribuye de la forma siguiente:</t>
  </si>
  <si>
    <t>Retenciones Impuesto sobre la Renta a Empleados</t>
  </si>
  <si>
    <t>Retenciones Ley 147- 3%/253-12 5%</t>
  </si>
  <si>
    <t>Retenciones Ley 557- 10%</t>
  </si>
  <si>
    <t>ITBIS</t>
  </si>
  <si>
    <t>Otros Impuestos a Pagar</t>
  </si>
  <si>
    <t>Inavi</t>
  </si>
  <si>
    <t>Programas</t>
  </si>
  <si>
    <t>Retenciones ITBIS 16%</t>
  </si>
  <si>
    <t>***</t>
  </si>
  <si>
    <t>Codia</t>
  </si>
  <si>
    <t>Aportes AFP</t>
  </si>
  <si>
    <t>Retenciones Por Pagar-Electrodomésticos</t>
  </si>
  <si>
    <t>Coop-Onapi</t>
  </si>
  <si>
    <t>COOPROGAL</t>
  </si>
  <si>
    <t>Seguro Médico</t>
  </si>
  <si>
    <t>Crédito Educativo</t>
  </si>
  <si>
    <t>Préstamos Funcionarios y Empleados</t>
  </si>
  <si>
    <t>*Incluye la suma de RD$3,129,432.41 ,correspondiente a pagos retenidos de Retenciones del años anteriores.</t>
  </si>
  <si>
    <t>RD$1,886,076.30 del año 2012.</t>
  </si>
  <si>
    <t>** El Monto correspondiente a los RD$3,682,180.45 corresponde Años anteriores,RD$601,380.80 año actual</t>
  </si>
  <si>
    <t>***El monto de RD$1,477,581.31 corresponde a montos retenidos a Suplidores correspondiente a ITBIS.</t>
  </si>
  <si>
    <t>Nota:15</t>
  </si>
  <si>
    <t>El Déficiti del año 2011, los Ingresos aumentaros por un valor de RD$32,986,817.71,representando  este monto,</t>
  </si>
  <si>
    <t>un aumento de un 17% en relación al año 2010.El 17% anterior  en detalle se debe a un aumento de un  8% en los</t>
  </si>
  <si>
    <t>Ingresos Corrientes,y un aumento de un 173% en los Ingresos recibidos de Otras Instituciones Públicas.</t>
  </si>
  <si>
    <t>Los Gastos en comparación al año 2010 reflejaron un  aumento de  RD$30,278,289.12,representando un aumento de 15%</t>
  </si>
  <si>
    <t>El Déficit del 2011 corresponde a un aumento de RD$14,908,418.45 en la partida de Sueldo(un 19% en relación al 2010),</t>
  </si>
  <si>
    <t xml:space="preserve">este aumento de sueldos provocó un aumento de 41% en las Contribuciones de Seguridad Social.Se suman en el incremento </t>
  </si>
  <si>
    <t>individuales de las partidas de gastos un aumento de un 81% en la Bonificaiones debido a la implantación del Bono de Navidad,</t>
  </si>
  <si>
    <t>aumento de un 30% electricidad,un aumento de 46% en medios de prensa,un aumento considerable en el Mantenimiento de Edificaciones,</t>
  </si>
  <si>
    <t>y productos de Papel Cartón.Todos estos aumentos de la partidas de Gastos suman en valores monetarios  RD$34,627,465.83.</t>
  </si>
  <si>
    <t>Nota:16</t>
  </si>
  <si>
    <t>Transferencias de Instituciones Públicas</t>
  </si>
  <si>
    <t>Esta  cuenta se usa para  representar las  partidas  entregadas por la Secretaría de Industría  y  Comercio</t>
  </si>
  <si>
    <t>(SEIC) a Onapi; así como los desembolsos hechos  por ONAPI a la SEIC, para de esa   forma hacer una</t>
  </si>
  <si>
    <t>evaluación de fondos  transferidos de  una Institución  a   otra. Y la misma se representa así:</t>
  </si>
  <si>
    <t>Período 2011</t>
  </si>
  <si>
    <t>Período 2010</t>
  </si>
  <si>
    <t>Período 2009</t>
  </si>
  <si>
    <t>Período 2008</t>
  </si>
  <si>
    <t>Período 2007</t>
  </si>
  <si>
    <t>Período 2006</t>
  </si>
  <si>
    <t>Período 2005</t>
  </si>
  <si>
    <t>Período 2004</t>
  </si>
  <si>
    <t>El comportamiento para el período 2011 fué el siguiente:</t>
  </si>
  <si>
    <t>Mes</t>
  </si>
  <si>
    <t xml:space="preserve">Transferidos por </t>
  </si>
  <si>
    <t>Dif /Transferida</t>
  </si>
  <si>
    <t xml:space="preserve">                 SEIC</t>
  </si>
  <si>
    <t xml:space="preserve">                 ONAPI</t>
  </si>
  <si>
    <t xml:space="preserve">                 por SEIC</t>
  </si>
  <si>
    <t>Enero</t>
  </si>
  <si>
    <t>Febrero</t>
  </si>
  <si>
    <t>Marzo</t>
  </si>
  <si>
    <t>Abril</t>
  </si>
  <si>
    <t>Mayo</t>
  </si>
  <si>
    <t>Junio</t>
  </si>
  <si>
    <t>Julio</t>
  </si>
  <si>
    <t>Agosto</t>
  </si>
  <si>
    <t>Septiembre</t>
  </si>
  <si>
    <t>Octubre</t>
  </si>
  <si>
    <t>Noviembre</t>
  </si>
  <si>
    <t>Diciembre</t>
  </si>
  <si>
    <t xml:space="preserve">         Al 31 de Diciembre 2013</t>
  </si>
  <si>
    <t>Cheques por Verificar</t>
  </si>
  <si>
    <t>Inventarios</t>
  </si>
  <si>
    <t>Inventario de Oficina</t>
  </si>
  <si>
    <t>Inventario de Toners</t>
  </si>
  <si>
    <t>Inventario Material de Limpieza</t>
  </si>
  <si>
    <t>Inventario de Alimentos y Bebidas para Humanos</t>
  </si>
  <si>
    <t>Inventario de Cocina</t>
  </si>
  <si>
    <t>Inventario Material Desechables</t>
  </si>
  <si>
    <t>Inventario Material Ferretero</t>
  </si>
  <si>
    <t>Inventario Misceláneo</t>
  </si>
  <si>
    <t>Total Inventarios de Almacén</t>
  </si>
  <si>
    <t>Otros Equipos de Cómputo</t>
  </si>
  <si>
    <t>Inversores O-San Francisco de Macoris</t>
  </si>
  <si>
    <t>Oficina Principal:</t>
  </si>
  <si>
    <t>Oficina Regional Este:</t>
  </si>
  <si>
    <t>Oficina Regional Norte:</t>
  </si>
  <si>
    <t>Oficina Regional San Francisco de Macoris:</t>
  </si>
  <si>
    <t>Otros Equipos de Cómputo Onapi Oriental</t>
  </si>
  <si>
    <t>Inversores Onapi San Francisco de Macoris</t>
  </si>
  <si>
    <t>Depósitos Afiliaciones Cardnet</t>
  </si>
  <si>
    <t>Depósitos Por Liquidar</t>
  </si>
  <si>
    <t>Tarjeta Shell Card</t>
  </si>
  <si>
    <t>Otras Cuentas Por Pagar</t>
  </si>
  <si>
    <t>Cuentas Por Pagar Clientes</t>
  </si>
  <si>
    <t>Retenciones 2%</t>
  </si>
  <si>
    <t>Retenciones ITBIS 18%</t>
  </si>
  <si>
    <t>Retenciones Ley 253-12  10%</t>
  </si>
  <si>
    <t>Fondo Menudo Regional Norte</t>
  </si>
  <si>
    <t>Reclamaciones Por Cobrar</t>
  </si>
  <si>
    <t>Cuentas Por Cobrar Proveedores</t>
  </si>
  <si>
    <t>Seguro de Averias de Maquinarias</t>
  </si>
  <si>
    <t>Abanicos S.F.M.</t>
  </si>
  <si>
    <t>Total Depreciación Muebles de Oficina  Regional Este</t>
  </si>
  <si>
    <t>Otros Mobiliarios y Equipos Onapi Santiago</t>
  </si>
  <si>
    <t>EQUIPO DE COMPUTOS S.F.M.-DEPRECIACION ACUMULADA</t>
  </si>
  <si>
    <t>Servicios Personales</t>
  </si>
  <si>
    <t>Sueldos Fijos</t>
  </si>
  <si>
    <t>Asesoría por Contrato</t>
  </si>
  <si>
    <t>Sueldos Personal Nóminal</t>
  </si>
  <si>
    <t>Suplencias</t>
  </si>
  <si>
    <t>Primas Por Antigüedad</t>
  </si>
  <si>
    <t>Compensación por gastos de Alimentacón</t>
  </si>
  <si>
    <t>Compensación Por Gastos Educativos</t>
  </si>
  <si>
    <t>Compensación por horas Extraordinarias</t>
  </si>
  <si>
    <t>Primas de Transporte</t>
  </si>
  <si>
    <t>Compensación por Servicios Prestados</t>
  </si>
  <si>
    <t>Compensación por Servicios de Seguridad</t>
  </si>
  <si>
    <t>Compensación Por Resultados</t>
  </si>
  <si>
    <t>Honorarios por Servicios Especiales</t>
  </si>
  <si>
    <t>Dietas en el Pais</t>
  </si>
  <si>
    <t>Gastos de Representación</t>
  </si>
  <si>
    <t>Regalia Pascual</t>
  </si>
  <si>
    <t>Bonificaciones</t>
  </si>
  <si>
    <t>Prestaciones Laborales</t>
  </si>
  <si>
    <t>Vacaciones</t>
  </si>
  <si>
    <t>Contribuciones al Seguro De Pensiones</t>
  </si>
  <si>
    <t>Riesgos Laborales</t>
  </si>
  <si>
    <t>Otras Bonificaciones y Gratificaciones</t>
  </si>
  <si>
    <t>Otros Servicios Personales</t>
  </si>
  <si>
    <t>Varios</t>
  </si>
  <si>
    <t>TOTAL</t>
  </si>
  <si>
    <t>Servicios no Personales</t>
  </si>
  <si>
    <t>Servicios Telefónicos a Larga Distancia</t>
  </si>
  <si>
    <t>Radio Comunicaciones</t>
  </si>
  <si>
    <t>Telefonos Onapi Central</t>
  </si>
  <si>
    <t>Telefonos Onapi Oriental</t>
  </si>
  <si>
    <t>Correos y Telegramas</t>
  </si>
  <si>
    <t>Servicios de Internet y Televisión por Cable</t>
  </si>
  <si>
    <t>Electricidad</t>
  </si>
  <si>
    <t>Agua y Basura</t>
  </si>
  <si>
    <t>Lavandería ,Limpieza e Higiene</t>
  </si>
  <si>
    <t>Fumigación</t>
  </si>
  <si>
    <t>Lavado de Cisternas</t>
  </si>
  <si>
    <t>Renta Mantenimiento Local</t>
  </si>
  <si>
    <t>Limpieza Pisos Y Alfombras</t>
  </si>
  <si>
    <t>Publicaciones Ley 20-00</t>
  </si>
  <si>
    <t>Avisos en Medios de Prensa</t>
  </si>
  <si>
    <t>Impresiones y Encuadernaciones</t>
  </si>
  <si>
    <t>Pasajes</t>
  </si>
  <si>
    <t>Fletes</t>
  </si>
  <si>
    <t>Peajes</t>
  </si>
  <si>
    <t>Alquiler Edificios y Locales</t>
  </si>
  <si>
    <t>Alquiler Equipos de Producción</t>
  </si>
  <si>
    <t>Alquilers Equipos de Servicios</t>
  </si>
  <si>
    <t>Alquiler Equipo de Transporte</t>
  </si>
  <si>
    <t>Alquiler Bienes y Servicios</t>
  </si>
  <si>
    <t>Otros Alquileres</t>
  </si>
  <si>
    <t>Seguro Bienes Inmuebles</t>
  </si>
  <si>
    <t>Seguros Edificios y Locales</t>
  </si>
  <si>
    <t>Seguro Vehiculos</t>
  </si>
  <si>
    <t>Seguro Personas</t>
  </si>
  <si>
    <t>Seguro Averias Maquinarias</t>
  </si>
  <si>
    <t>Seguros de Riesgos Equipos Electrónicos</t>
  </si>
  <si>
    <t>Seguros de Responsabilidad Civil Extracontractual</t>
  </si>
  <si>
    <t>Mantenimiento Edificios</t>
  </si>
  <si>
    <t>Mantenimiento Instalaciones</t>
  </si>
  <si>
    <t>Mant. Maquinarias y Equipos</t>
  </si>
  <si>
    <t>Letreros</t>
  </si>
  <si>
    <t>Obras Menores</t>
  </si>
  <si>
    <t>Auditorias y Estudios</t>
  </si>
  <si>
    <t>Gastos Judiciales</t>
  </si>
  <si>
    <t>Matriculas de Vehiculos/Derechos de Placas</t>
  </si>
  <si>
    <t>Servicios Funerarios</t>
  </si>
  <si>
    <t>Capacitación a la Oficina</t>
  </si>
  <si>
    <t>Otras Retenciones</t>
  </si>
  <si>
    <t>Servicios Especiales</t>
  </si>
  <si>
    <t>Servicios Prof. a personas</t>
  </si>
  <si>
    <t>Servicios Prof. a la Oficina</t>
  </si>
  <si>
    <t>Cargos Bancarios Cta. 010-241433-5</t>
  </si>
  <si>
    <t>Cargos Bancarios Cta. 010-250249-8</t>
  </si>
  <si>
    <t>Cargos Bancarios Cta. 010-249554-8 Nominas</t>
  </si>
  <si>
    <t>Cargos Bancarios Transferencias US$</t>
  </si>
  <si>
    <t>Diferencias Cambiarias</t>
  </si>
  <si>
    <t>Gastos Por Liquidar</t>
  </si>
  <si>
    <t>Cargos Bancarios cta. Ahorros por transferencia</t>
  </si>
  <si>
    <t>Otros Servicios no Personales</t>
  </si>
  <si>
    <t>Alimentos para Humanos</t>
  </si>
  <si>
    <t>Alimentos para Animales</t>
  </si>
  <si>
    <t>Bebidas Alcoholicas</t>
  </si>
  <si>
    <t>Productos Agroforestales</t>
  </si>
  <si>
    <t>Carbón Mineral</t>
  </si>
  <si>
    <t>Minerales Metálicos</t>
  </si>
  <si>
    <t>Otros Minerales Metálicos</t>
  </si>
  <si>
    <t>Otros Alimentos y Productos Agroforestales</t>
  </si>
  <si>
    <t>Hilados y Telas</t>
  </si>
  <si>
    <t>Acabados Textiles</t>
  </si>
  <si>
    <t>Prendas de Vestir</t>
  </si>
  <si>
    <t>Otros Textiles y Vestuarios</t>
  </si>
  <si>
    <t>Papel de Escritorio</t>
  </si>
  <si>
    <t>Productos de Papel y Carton</t>
  </si>
  <si>
    <t>Productos de Artes Graficas</t>
  </si>
  <si>
    <t>Libros, Revistas y Periodicos</t>
  </si>
  <si>
    <t>Especies Timbradas y Valoradas</t>
  </si>
  <si>
    <t>Otros Productos de Papel y Carton</t>
  </si>
  <si>
    <t>Cueros y Pieles</t>
  </si>
  <si>
    <t>Otros Productos de Cuero y Caucho</t>
  </si>
  <si>
    <t>Sustancias Quimicas</t>
  </si>
  <si>
    <t>Combustibles, Lubricantes y Otros Derivados</t>
  </si>
  <si>
    <t>Abonos y Fertilizantes</t>
  </si>
  <si>
    <t>Insecticidas, Fumigantes y Otros</t>
  </si>
  <si>
    <t>Productos Medicinales y Farmaceuticos</t>
  </si>
  <si>
    <t>Pinturas, Tintes y Colorantes</t>
  </si>
  <si>
    <t>Otros Productos Quimicos</t>
  </si>
  <si>
    <t>Productos de Arcillas,Piedras y Arena</t>
  </si>
  <si>
    <t>Productos de Vidrio</t>
  </si>
  <si>
    <t>Productos de Loza y Porcelana</t>
  </si>
  <si>
    <t>Productos de Cemento y Asbestos</t>
  </si>
  <si>
    <t>Otros Productos de Minerales no Metalicos</t>
  </si>
  <si>
    <t>Herramientas y Repuestos Menores</t>
  </si>
  <si>
    <t>Otros Productos Metalicos</t>
  </si>
  <si>
    <t>Utiles de Limpieza</t>
  </si>
  <si>
    <t>Utiles de Escritorios. Oficina y Enseñanza</t>
  </si>
  <si>
    <t>Utiles Menores Metálicos -Quirurgicos</t>
  </si>
  <si>
    <t>Utiles de Deportes y Recreativos</t>
  </si>
  <si>
    <t>Utiles de Cocina y Comedor</t>
  </si>
  <si>
    <t>Materiales Ferreteros</t>
  </si>
  <si>
    <t>Otros Productos Varios y Utiles Diversos</t>
  </si>
  <si>
    <t>Conservaciones Rep. Menores y Const. Temporales</t>
  </si>
  <si>
    <t>Reparaciones Extraordinarias  de Maquinarias</t>
  </si>
  <si>
    <t>Maquinarias y Equipos de Producción</t>
  </si>
  <si>
    <t>Equipos Educativos y de Adiestramiento</t>
  </si>
  <si>
    <t>Equipos de Transporte, Tracción</t>
  </si>
  <si>
    <t>Equipos y Muebles de Oficina Onapi Central</t>
  </si>
  <si>
    <t>Equipos y Muebles de Oficina Onapi Este</t>
  </si>
  <si>
    <t>Equipos y Muebles de Oficina Norte</t>
  </si>
  <si>
    <t>Equipos de Computos Onapi Central</t>
  </si>
  <si>
    <t>Onapi Oriental</t>
  </si>
  <si>
    <t>Equipos de Computos Onapi Norte</t>
  </si>
  <si>
    <t>Edificaciones</t>
  </si>
  <si>
    <t>Edificios para Hospitales</t>
  </si>
  <si>
    <t>Transferencias Corrientes al Sector Privado</t>
  </si>
  <si>
    <t>Ayudas y Donaciones a Personas</t>
  </si>
  <si>
    <t>Transferencias a Instituciones s/fines de Lucro</t>
  </si>
  <si>
    <t>A Otras Instituciones Públicas</t>
  </si>
  <si>
    <t>A Instituciones Privadas sin Fines de Lucro</t>
  </si>
  <si>
    <t>Transferencias Corrientes al Sector Publico</t>
  </si>
  <si>
    <t>Transferencias a  la Administración Central</t>
  </si>
  <si>
    <t>Transferencias a Otras Instituciones Publicas</t>
  </si>
  <si>
    <t>Transferencias a Organismos Internacionales</t>
  </si>
  <si>
    <t>Cuota Internacional</t>
  </si>
  <si>
    <t>A Organismos Internacionales</t>
  </si>
  <si>
    <t>Transferencia Banco Suiza para Gastos</t>
  </si>
  <si>
    <t>Recargos de la Deuda Interna</t>
  </si>
  <si>
    <t>Muebles y Enseres O-Central</t>
  </si>
  <si>
    <t>Maquinas y Fax O-central</t>
  </si>
  <si>
    <t>Aires Acondicionados O-Central</t>
  </si>
  <si>
    <t>Maquinas Sumadoras O-Central</t>
  </si>
  <si>
    <t>Equipo Educacional y Recreación</t>
  </si>
  <si>
    <t>Otros Mob y Equipos de Oficina O-Central</t>
  </si>
  <si>
    <t>Muebles y Enseres O-Este</t>
  </si>
  <si>
    <t>Maquinas y Fax O-Este</t>
  </si>
  <si>
    <t>Maquinas sumadoras O-Este</t>
  </si>
  <si>
    <t>Otros Mob y Equipos de Oficina O-Este</t>
  </si>
  <si>
    <t>Muebles y Enseres O-Norte</t>
  </si>
  <si>
    <t>Fotocopiadoras O-Norte</t>
  </si>
  <si>
    <t>Otros Mob y Equipos de Oficina O-Norte</t>
  </si>
  <si>
    <t>Muebles y Enseres S.F.M.</t>
  </si>
  <si>
    <t>Máquinas Sumadoras</t>
  </si>
  <si>
    <t>Otros Mob y Equipos de Oficina ONAPI-S.F.M.</t>
  </si>
  <si>
    <t>Jeepetas y Minibus</t>
  </si>
  <si>
    <t>Impresoras O-Central</t>
  </si>
  <si>
    <t>Scaner O-Central</t>
  </si>
  <si>
    <t>Monitores O-Central</t>
  </si>
  <si>
    <t>Otros Equipos de Computos O-Central</t>
  </si>
  <si>
    <t>Impresoras O-Este</t>
  </si>
  <si>
    <t>Monitores O-Este</t>
  </si>
  <si>
    <t>Otros Gastos de Depreciacion Equipos de Computos</t>
  </si>
  <si>
    <t>Servidoes CPU O-Norte</t>
  </si>
  <si>
    <t>Impresoras O-Norte</t>
  </si>
  <si>
    <t>Scaner O-Norte</t>
  </si>
  <si>
    <t>Monitores O-Norte</t>
  </si>
  <si>
    <t>Otros Equipos de Computos O-Norte</t>
  </si>
  <si>
    <t>Servidoes CPU -S.F.M.</t>
  </si>
  <si>
    <t>Impresoras-S.F.M.</t>
  </si>
  <si>
    <t>Otros Gastos de Depreciacion Equipos</t>
  </si>
  <si>
    <t>Equipos de Comunicación Santiago</t>
  </si>
  <si>
    <t>Equipos de Comunicación Este</t>
  </si>
  <si>
    <t>Equipos de Comunicación S.F.M.</t>
  </si>
  <si>
    <t>Microondas S.F.M.</t>
  </si>
  <si>
    <t>Estufa-Este</t>
  </si>
  <si>
    <t>Planta Electrica</t>
  </si>
  <si>
    <t>Inversores S.F.M.</t>
  </si>
  <si>
    <t>Activos Excluidos O-Central</t>
  </si>
  <si>
    <t>Activos Excluidos O-Norte</t>
  </si>
  <si>
    <t>Activos Excluidos O-Este</t>
  </si>
  <si>
    <t>Amortizacion Activos Diferidos</t>
  </si>
  <si>
    <t>Amortizacion  Otros Activos Diferidos</t>
  </si>
  <si>
    <t>Amortizacion Programas de Computos</t>
  </si>
  <si>
    <t>Total General</t>
  </si>
  <si>
    <t>Muebles y Enseres -Bani</t>
  </si>
  <si>
    <t>Aires Acondicionados-Bani</t>
  </si>
  <si>
    <t>Impresoras-Modulo Bani</t>
  </si>
  <si>
    <t xml:space="preserve">         Al 31 de Diciembre 2015</t>
  </si>
  <si>
    <t>Cuenta No.100010102391041 Sub-Cuenta USD No.9995003000</t>
  </si>
  <si>
    <t>USD</t>
  </si>
  <si>
    <t>EUR</t>
  </si>
  <si>
    <t>Retenciones Ley 253-12  5%</t>
  </si>
  <si>
    <t>Neveras Onapi-Central</t>
  </si>
  <si>
    <t>Microondas-Onapi Central</t>
  </si>
  <si>
    <t>Neveras Onapi-Este</t>
  </si>
  <si>
    <t>Microondas-Onapi Este</t>
  </si>
  <si>
    <t>Neveras Onapi-Norte</t>
  </si>
  <si>
    <t>Microondas Onapi-Norte</t>
  </si>
  <si>
    <t>Microondas Onapi-San Francisco de Macoris</t>
  </si>
  <si>
    <t>Nevera Onapi-San Francisco de Macoris</t>
  </si>
  <si>
    <t>Microondas S.C.</t>
  </si>
  <si>
    <t>Lavadoras,Estufas,Equipos de Cocina</t>
  </si>
  <si>
    <t>Microondas Onapi Este</t>
  </si>
  <si>
    <t>Microondas</t>
  </si>
  <si>
    <t xml:space="preserve">Neveras </t>
  </si>
  <si>
    <t xml:space="preserve">Microondas </t>
  </si>
  <si>
    <t>Compensación de Horas Extras Por Pagar</t>
  </si>
  <si>
    <t>Bonificaciones e Incentivos por Resultados Por Pagar</t>
  </si>
  <si>
    <t>Pasantias Por Pagar</t>
  </si>
  <si>
    <t>Cuentas Por Pagar  Proveedores</t>
  </si>
  <si>
    <t>Valores en RD$</t>
  </si>
  <si>
    <t>Bancos:</t>
  </si>
  <si>
    <t>Fondo Menudo Recaudadores</t>
  </si>
  <si>
    <t>Edificación Oficina Este</t>
  </si>
  <si>
    <t>Edificaciones-Onapi Regional Este</t>
  </si>
  <si>
    <t>Máquinas y Faxes</t>
  </si>
  <si>
    <t>Máquinas y Fax</t>
  </si>
  <si>
    <t xml:space="preserve">Otros Mobiliarios y Equipos Onapi </t>
  </si>
  <si>
    <t>Viáticos Por Pagar</t>
  </si>
  <si>
    <t>Compensación por Gastos Educativos</t>
  </si>
  <si>
    <t>Honorarios Profesionales y Técnicos</t>
  </si>
  <si>
    <t>Viáticos Fuera del País</t>
  </si>
  <si>
    <t>Otros Gastos Por Indemnizaciones y Compensaciones</t>
  </si>
  <si>
    <t>Comisión 2.5 % Visanet</t>
  </si>
  <si>
    <t>Gastos Por Descuento de Pérdidas Cardnet</t>
  </si>
  <si>
    <t>Neumáticos y Cámara de Aire</t>
  </si>
  <si>
    <t>Productos de Plásticos y de Nylon</t>
  </si>
  <si>
    <t>Cemento , Cal y Yeso</t>
  </si>
  <si>
    <t>Productos Siderúrgicos Férricos</t>
  </si>
  <si>
    <t>Productos Siderúrgicos  No Férricos</t>
  </si>
  <si>
    <t>Productos Eléctricos y  Afines</t>
  </si>
  <si>
    <t>Bonos</t>
  </si>
  <si>
    <t>Aires Acondicionados O-Este</t>
  </si>
  <si>
    <t>Maquinas Sumadoras O-Norte</t>
  </si>
  <si>
    <t>Otros Ingresos</t>
  </si>
  <si>
    <t>Seguros de Viajes al Exterior</t>
  </si>
  <si>
    <t>Servicios Técnicos Profesionales Prestados</t>
  </si>
  <si>
    <t>Capacitación a Personas</t>
  </si>
  <si>
    <t>Fotocopiadoras O-Central</t>
  </si>
  <si>
    <t>Aires Acondicionados O-Norte</t>
  </si>
  <si>
    <t xml:space="preserve">        Valores en RD$</t>
  </si>
  <si>
    <t>Otros Ingresos Varios</t>
  </si>
  <si>
    <t>Excedentes en Recaudaciones</t>
  </si>
  <si>
    <t>Apertura Caja Chica S.F.M.-OP</t>
  </si>
  <si>
    <t>Descuentos Cardnet y Notas de Crédito Clientes</t>
  </si>
  <si>
    <t>Ingresos Brutos</t>
  </si>
  <si>
    <t>Nota: Incluye la Web</t>
  </si>
  <si>
    <t>Oficina Norte</t>
  </si>
  <si>
    <t>Descuentos Notas de Crédito Clientes</t>
  </si>
  <si>
    <t>Sub-Total Neto Oficina Norte</t>
  </si>
  <si>
    <t>Oficina Este</t>
  </si>
  <si>
    <t>Oficina San Francisco de Macoris</t>
  </si>
  <si>
    <t>Sub-Total Neto Oficina San Francisco de Macoris</t>
  </si>
  <si>
    <t xml:space="preserve">                                                                                                   Oficina Nacional de la Propiedad Industrial (ONAPI )</t>
  </si>
  <si>
    <t>Sistema Telefónico</t>
  </si>
  <si>
    <t>Cuentas Por Pagar  enviadas para Pagos</t>
  </si>
  <si>
    <t>Cuentas Compensación Compras-Recepciones Inv. En Tránsito</t>
  </si>
  <si>
    <t>Cuentas por Pagar Proveedores  Loc.  Y Terceros</t>
  </si>
  <si>
    <t>Cuenta No.100010102391041 Sub-Cta. USD No.9995003001</t>
  </si>
  <si>
    <t>Cuenta No.100010102391041 Sub-Cta. USD No.9995003000</t>
  </si>
  <si>
    <t>Cuenta No.100010102391041 Sub-Cta. USD No.0100022000</t>
  </si>
  <si>
    <t>Cuenta No.100010102391041 Sub-Cta. USD No.0100022001</t>
  </si>
  <si>
    <t>Cuenta No.200030100001418 Sub-Cta. EUR No.9995002000</t>
  </si>
  <si>
    <t>Cuenta No.200030100001418 Sub-Cta. EUR No.9995002001</t>
  </si>
  <si>
    <t>Cuenta No.010-2384894 Sub-Cta. No.995008000 BR</t>
  </si>
  <si>
    <t>Cuenta No.010-2384894 Sub-Cta. No.100110000 BR</t>
  </si>
  <si>
    <t>Cuenta No.010-2384894 Sub-Cta. No.100110001 BR</t>
  </si>
  <si>
    <t>Cuenta No.010-2384894 Sub-Cta. No.995008001 BR</t>
  </si>
  <si>
    <t>Nota:  7</t>
  </si>
  <si>
    <t>Nota: 10</t>
  </si>
  <si>
    <t>De la Cuenta de Retenciones de Ley 5%, corresponden a retenciones RD$487,148.64 corresponden a años anteriores y RD$12,601.98 del año 2017.</t>
  </si>
  <si>
    <t>De la Cuenta de Retenciones de Ley 10%, corresponden a retenciones RD$102,198.08 corresponden a años anteriores y RD$28,409.76 del año 2017.</t>
  </si>
  <si>
    <t>De la Cuenta de Retenciones de Ley 2%, corresponde al año 2016.</t>
  </si>
  <si>
    <t>De la Cuenta Viáticos por Pagar corresponde a Viáticos por Pagar a Colaboradores y este monto de RD$28,250.00 corresponden al mes de Diciembre del 2017.</t>
  </si>
  <si>
    <t>De la Cuenta Retención de ITBIS corresponde al cumplimiento  de la Ley 11-92 y sus Normas de  las Retenciones de ITBIS el monto de RD$394,554.89  corresponde al año 2017.</t>
  </si>
  <si>
    <t>De la Cuenta Codia  corresponde al cumplimiento  de la Ley 11-92 Art. 287 literal M y en Cumplimiento a Decrero 319-98, retención Proy. Ingenieria a la espera de Fact. Proveedor.</t>
  </si>
  <si>
    <t>De la Cuenta Notas de Crédito  el monto de RD$83,549.00 corresponden a Notas de Créditos a favor de los Clientes dicho monto corresponde al 2017.</t>
  </si>
  <si>
    <t xml:space="preserve">TOTAL </t>
  </si>
  <si>
    <t>Reposición Caja Chica Cierre Fiscal</t>
  </si>
  <si>
    <t>Sueldo Personal Probatorio</t>
  </si>
  <si>
    <t>Viáticos Dentro del País</t>
  </si>
  <si>
    <t>Imp., Derechos, Tasas,Penalidades y Multas</t>
  </si>
  <si>
    <t>Cargos Bancarios .Cta. Anticipos Financieros</t>
  </si>
  <si>
    <t xml:space="preserve">Comisión Cardnet 2.5% </t>
  </si>
  <si>
    <t>Comisión American Express 2.5%</t>
  </si>
  <si>
    <t>Materiales y Sum. Relacionados con Computos</t>
  </si>
  <si>
    <t>Scaner O-Este</t>
  </si>
  <si>
    <t>Scanner -S.F.M.</t>
  </si>
  <si>
    <t>Amortización Base de Datos</t>
  </si>
  <si>
    <t>Otros Gastos de Depreciacion Equipos-S.FM.</t>
  </si>
  <si>
    <t>USD/EUR</t>
  </si>
  <si>
    <t>US$   13,726.46</t>
  </si>
  <si>
    <t>EUR     5,000.00</t>
  </si>
  <si>
    <t>US$      23,281.81</t>
  </si>
  <si>
    <t>Bonificaciones e Incentivos Por Pagar</t>
  </si>
  <si>
    <t>Nota:  8</t>
  </si>
  <si>
    <t>Nota:  9</t>
  </si>
  <si>
    <t>Nota:  11</t>
  </si>
  <si>
    <t>Nota: 11</t>
  </si>
  <si>
    <t>Nota: 13</t>
  </si>
  <si>
    <t>NOTA 21:</t>
  </si>
  <si>
    <t>NOTA 23:</t>
  </si>
  <si>
    <t>NOTA 24:</t>
  </si>
  <si>
    <t>OK</t>
  </si>
  <si>
    <t>Programa de Computo y Base de Datos</t>
  </si>
  <si>
    <t>Personal Carácter Eventual</t>
  </si>
  <si>
    <t>Contribuciones a la Seguro Familiar de  Salud</t>
  </si>
  <si>
    <t>Servicios Sanitarios Médicos y Veterinarios</t>
  </si>
  <si>
    <t>Servicios de Alimentación</t>
  </si>
  <si>
    <t>Servidores CPU O-Central</t>
  </si>
  <si>
    <t>Servidores CPU O-Este</t>
  </si>
  <si>
    <t>Excedentes en Recaudaciones/Faltante-Neto</t>
  </si>
  <si>
    <t xml:space="preserve"> </t>
  </si>
  <si>
    <t>Pérdidas de Cardnet</t>
  </si>
  <si>
    <t>Fondo Menudo Regional Este</t>
  </si>
  <si>
    <t>Fondo Caja Chica CATI-Puerto Plata</t>
  </si>
  <si>
    <t>EUR     1,996.50</t>
  </si>
  <si>
    <t>EUR     3,003.50</t>
  </si>
  <si>
    <t>US$   54,105.29</t>
  </si>
  <si>
    <t>Cuentas Por Cobrar Sra. Maria Patricia Sánchez Vásquez</t>
  </si>
  <si>
    <t>EQUIPO DE COMPUTOS ORIENTAL-DEPRECIACION ACUMULADA</t>
  </si>
  <si>
    <t>Onapi  CATI-UASD</t>
  </si>
  <si>
    <t>Onapi  CATI-Puerto Plata</t>
  </si>
  <si>
    <t>CATI-UASD:</t>
  </si>
  <si>
    <t>Total Depreciación Muebles CATI-UASD</t>
  </si>
  <si>
    <t>CATI-Puerto Plata:</t>
  </si>
  <si>
    <t>EQUIPO DE COMPUTOS CATI-UASD-DEPRECIACION ACUMULADA</t>
  </si>
  <si>
    <t>Total Depreciación Equipos de Computos CATI-UASD</t>
  </si>
  <si>
    <t>Onapi-CATI-UASD</t>
  </si>
  <si>
    <t>Sistema de Gestión de Calidad ISO-TOOLS</t>
  </si>
  <si>
    <t>Amortización de Base de Datos</t>
  </si>
  <si>
    <t>TOTAL NOTA 11:  BIENES DE USO</t>
  </si>
  <si>
    <t>TOTAL NOTA 11:  EQUIPO DE TRANSPORTE</t>
  </si>
  <si>
    <t>Nota: 12</t>
  </si>
  <si>
    <t>TOTAL NOTA 12:DIFERIDOS E INTANGIBLES</t>
  </si>
  <si>
    <t xml:space="preserve">                                                                                                                                                                         Oficina Nacional de la Propiedad Industrial (ONAPI )</t>
  </si>
  <si>
    <t xml:space="preserve">                                                                                                                                                                 Nota a los Ingresos</t>
  </si>
  <si>
    <t xml:space="preserve">       </t>
  </si>
  <si>
    <t>Del Gobierno Central</t>
  </si>
  <si>
    <t>Ingresos Propios Netos</t>
  </si>
  <si>
    <t>NOTA 18:</t>
  </si>
  <si>
    <t>NOTA 17:</t>
  </si>
  <si>
    <t xml:space="preserve">      </t>
  </si>
  <si>
    <t>NOTA 19:</t>
  </si>
  <si>
    <t>TOTAL NOTA 15:OTRAS CUENTAS POR PAGAR</t>
  </si>
  <si>
    <t>TOTAL NOTA 14:ACUMULACIONES Y RETENCIONES POR PAGAR</t>
  </si>
  <si>
    <t>Fondo Caja Chica Administrativo</t>
  </si>
  <si>
    <t>Fondo Caja Chica Dirección General</t>
  </si>
  <si>
    <t>Fondo Caja Chica Oficina Regional Este</t>
  </si>
  <si>
    <t>Fondo Caja Chica Oficina Regional Norte</t>
  </si>
  <si>
    <t>Fondo Caja Chica Tesoreria</t>
  </si>
  <si>
    <t>Incentivo Por Resultados-Rendimiento Individual</t>
  </si>
  <si>
    <t>Muebles y Enseres -CATI UASD</t>
  </si>
  <si>
    <t>Muebles y Enseres -CATI -Puerto Plata</t>
  </si>
  <si>
    <t>Servidores CPU-CATI -Puerto Plata</t>
  </si>
  <si>
    <t>Otros Equipos de Computo-CATI-UASD</t>
  </si>
  <si>
    <t>Reclamaciones Ventas On Line-Ctas. Incobrables</t>
  </si>
  <si>
    <t>VALORES EN RD$</t>
  </si>
  <si>
    <t>Cuenta No.1000-01-314-000074-1-Anticipos Financieros</t>
  </si>
  <si>
    <t>Cuenta Unica de Tesoro de la ONAPI</t>
  </si>
  <si>
    <t xml:space="preserve">Y en cumpliendo con lo establecido en las Normas y el Código Tributario se  expresan en la moneda local en </t>
  </si>
  <si>
    <t>(RD$) Pesos Dominicanos las Cuentas en Monedas Extranjeras. Las mismas presentan los siguientes valores:</t>
  </si>
  <si>
    <t>** La Reclamación  a la Ing. Dominga Acevedo corresponde a registro  contable No.32,930 de fecha 31/07/2008</t>
  </si>
  <si>
    <t>Total Edificación Oficina Regional Este</t>
  </si>
  <si>
    <t>El balance de esta cuenta representa el valor histórico de cada</t>
  </si>
  <si>
    <t>utilizado es el de Linea Recta,</t>
  </si>
  <si>
    <t>Onapi-CATI-Puerto Plata</t>
  </si>
  <si>
    <t xml:space="preserve">El balance de esta cuenta representa los valores </t>
  </si>
  <si>
    <t>Total Depreciación Equipos de Computos CATI-PUERTO PLATA</t>
  </si>
  <si>
    <t>EQUIPO DE COMPUTOS CATI-PUERTO PLATA-DEPRECIACION ACUMULADA</t>
  </si>
  <si>
    <t>Compensación Por Pagar</t>
  </si>
  <si>
    <t>Otros Activos Intangibles</t>
  </si>
  <si>
    <t>Fondo Caja Chica CATI</t>
  </si>
  <si>
    <t>Fondo Caja Chica Oficina San Francisco de Macoris</t>
  </si>
  <si>
    <t>Transferencias</t>
  </si>
  <si>
    <t>El Balance de esta cuenta al 31 de Diciembre del 2020,fué de RD$148,931,698.08</t>
  </si>
  <si>
    <t>El valor al 31-12-2019 de RD$148,931,698.06. Al 01 de Octubre del 2020 se adiciona RD$1,447,713.91 este mon-</t>
  </si>
  <si>
    <t>to es de finalización del Proyecto de Remodelación de algunas Oficinas de la O.P. en Cristal .Al 31 de Dici-</t>
  </si>
  <si>
    <t>Recaudaciones en Tránsito</t>
  </si>
  <si>
    <t>Sueldo Personal Contratado-Temporal</t>
  </si>
  <si>
    <t>Sueldo  Temporal a Personal Fijo Cargo de Carrera</t>
  </si>
  <si>
    <t>Otros Gastos Pagados Por Anticipados</t>
  </si>
  <si>
    <t>Instalaciones Temporales</t>
  </si>
  <si>
    <t>Otros Gastos Operativos</t>
  </si>
  <si>
    <t>Aires Acondicionados -S.F.M.</t>
  </si>
  <si>
    <t>Automoviles</t>
  </si>
  <si>
    <t>Ascensor Edificio Administrativo</t>
  </si>
  <si>
    <t>Otros Equipos Varios-Este</t>
  </si>
  <si>
    <t>Oficina Principal-Web</t>
  </si>
  <si>
    <t>Ascensor Edificio Adminsitrativo</t>
  </si>
  <si>
    <t>ok</t>
  </si>
  <si>
    <t xml:space="preserve">embre del 2020 asciende a RD$150,379,411.97, en cumplimiento a lo que establece el Catálogo de Bienes del </t>
  </si>
  <si>
    <t>Estado se segrega el monto del Ascensor por valor de RD$1,987,733.80, rebajando este valor el Balance de la</t>
  </si>
  <si>
    <t>El balance de esta cuenta representa el monto total de las Adquisiones de Programas</t>
  </si>
  <si>
    <t>Ayudas y/o Aportes</t>
  </si>
  <si>
    <t>Prestaciones Laborales Por Pagar</t>
  </si>
  <si>
    <t>Vacaciones Por Pagar</t>
  </si>
  <si>
    <t>OFICINA NACIONAL DE LA PROPIEDAD INDUSTRIAL(ONAPI)</t>
  </si>
  <si>
    <t>Estado de Situación Financiera</t>
  </si>
  <si>
    <t>(Valores en RD$)</t>
  </si>
  <si>
    <t>Activos</t>
  </si>
  <si>
    <t>Activos corrientes</t>
  </si>
  <si>
    <t>Efectivo y equivalentes de efectivo (Nota 7)</t>
  </si>
  <si>
    <t>Inversiones a corto plazo (Nota 8)</t>
  </si>
  <si>
    <t>Porción corriente de documentos por cobrar (Nota 9)</t>
  </si>
  <si>
    <t>Cuenta por cobrar a corto plazo (Notas 08)</t>
  </si>
  <si>
    <t>Inventarios (Nota 9)</t>
  </si>
  <si>
    <t>Pagos anticipados (Nota 10)</t>
  </si>
  <si>
    <t>Otros activos corrientes (Nota 13)</t>
  </si>
  <si>
    <t>Cuentas por cobrar a largo plazo (Notas 14)</t>
  </si>
  <si>
    <t>Documentos por cobrar (Nota 15)</t>
  </si>
  <si>
    <t>Inversiones a largo plazo (Nota 16)</t>
  </si>
  <si>
    <t>Otros activos financieros (Notas 17)</t>
  </si>
  <si>
    <t xml:space="preserve">Activos intangibles (Nota 12) </t>
  </si>
  <si>
    <t xml:space="preserve">Otros activos no financieros (Nota 20) </t>
  </si>
  <si>
    <t>Total activos</t>
  </si>
  <si>
    <t>Pasivos</t>
  </si>
  <si>
    <t>Préstamos a corto plazo (Nota 23)</t>
  </si>
  <si>
    <t>Parte corriente de préstamos a largo plazo (Nota 24)</t>
  </si>
  <si>
    <t>Provisiones a corto plazo (Nota 26)</t>
  </si>
  <si>
    <t>Beneficios a empleados a corto plazo (Nota 27)</t>
  </si>
  <si>
    <t>Pensiones (Nota 28)</t>
  </si>
  <si>
    <t>Capital</t>
  </si>
  <si>
    <t>Reservas</t>
  </si>
  <si>
    <t xml:space="preserve">Resultados acumulados </t>
  </si>
  <si>
    <r>
      <t xml:space="preserve">          </t>
    </r>
    <r>
      <rPr>
        <b/>
        <sz val="11"/>
        <rFont val="Times New Roman"/>
        <family val="1"/>
      </rPr>
      <t>Encargado Financiero</t>
    </r>
  </si>
  <si>
    <t xml:space="preserve">Encargado Contabilidad </t>
  </si>
  <si>
    <t>Estado de Rendimiento Financiero</t>
  </si>
  <si>
    <t>Ingresos (Nota 17,18,19)</t>
  </si>
  <si>
    <t>Ingresos por transacciones con contraprestación</t>
  </si>
  <si>
    <t>Recargos, multas y otros ingresos</t>
  </si>
  <si>
    <t>Sueldos, salarios y beneficios a empleados</t>
  </si>
  <si>
    <t>Subvenciones y otros pagos por transferencias</t>
  </si>
  <si>
    <t>Suministros y materiales para consumo</t>
  </si>
  <si>
    <t>Gasto de depreciación y amortización</t>
  </si>
  <si>
    <t>Deterioro del valor de propiedad, planta y equipo</t>
  </si>
  <si>
    <t>Otros gastos</t>
  </si>
  <si>
    <t>Gastos financieros</t>
  </si>
  <si>
    <t>Ganancia (pérdida) por diferencia cambiaria</t>
  </si>
  <si>
    <t xml:space="preserve">Participación en resultado de asociadas </t>
  </si>
  <si>
    <r>
      <t xml:space="preserve">                                        </t>
    </r>
    <r>
      <rPr>
        <b/>
        <sz val="11"/>
        <color indexed="8"/>
        <rFont val="Times New Roman"/>
        <family val="1"/>
      </rPr>
      <t xml:space="preserve"> Del Ministro y/o Director General</t>
    </r>
  </si>
  <si>
    <t>Estado de Cambio de Activo / Patrimonio</t>
  </si>
  <si>
    <t>Capital Aportado</t>
  </si>
  <si>
    <t>Cambios en Políticas Contables</t>
  </si>
  <si>
    <t>Revaluación</t>
  </si>
  <si>
    <t>Resultados Acumulados</t>
  </si>
  <si>
    <t>Total Activos Netos / Patrimonio</t>
  </si>
  <si>
    <t>Cambio en políticas contables</t>
  </si>
  <si>
    <t>Revaluación de Propiedad, planta y equipo</t>
  </si>
  <si>
    <t xml:space="preserve">Ajuste al patrimonio </t>
  </si>
  <si>
    <t>Resultado del período</t>
  </si>
  <si>
    <t>Efecto del gasto de depreciación de los activos revaluados</t>
  </si>
  <si>
    <r>
      <t xml:space="preserve">           </t>
    </r>
    <r>
      <rPr>
        <b/>
        <sz val="11"/>
        <color indexed="8"/>
        <rFont val="Times New Roman"/>
        <family val="1"/>
      </rPr>
      <t xml:space="preserve"> Encargado Financiero</t>
    </r>
  </si>
  <si>
    <r>
      <t xml:space="preserve">     </t>
    </r>
    <r>
      <rPr>
        <b/>
        <sz val="11"/>
        <color indexed="8"/>
        <rFont val="Times New Roman"/>
        <family val="1"/>
      </rPr>
      <t>Encargado de Contabilidad</t>
    </r>
  </si>
  <si>
    <t>Estado de Flujo de Efectivo</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</si>
  <si>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</si>
  <si>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</si>
  <si>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</si>
  <si>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</si>
  <si>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</si>
  <si>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</si>
  <si>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</si>
  <si>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</si>
  <si>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</si>
  <si>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los trabajadores o en beneficio de ellos</t>
  </si>
  <si>
    <t>Pagos por contribuciones a la seguridad social</t>
  </si>
  <si>
    <t>Pagos de pensiones y jubilaciones</t>
  </si>
  <si>
    <t xml:space="preserve">Pagos a proveedores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</si>
  <si>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</si>
  <si>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</si>
  <si>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</si>
  <si>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</si>
  <si>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</si>
  <si>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</si>
  <si>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</si>
  <si>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</si>
  <si>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</si>
  <si>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</si>
  <si>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</si>
  <si>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</si>
  <si>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</si>
  <si>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</si>
  <si>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</si>
  <si>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</si>
  <si>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</si>
  <si>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</si>
  <si>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</si>
  <si>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</si>
  <si>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</si>
  <si>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</si>
  <si>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</si>
  <si>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</si>
  <si>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</si>
  <si>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</si>
  <si>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</si>
  <si>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</si>
  <si>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</si>
  <si>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r>
      <t xml:space="preserve">         </t>
    </r>
    <r>
      <rPr>
        <b/>
        <sz val="14"/>
        <rFont val="Times New Roman"/>
        <family val="1"/>
      </rPr>
      <t xml:space="preserve">  </t>
    </r>
    <r>
      <rPr>
        <b/>
        <sz val="11"/>
        <rFont val="Times New Roman"/>
        <family val="1"/>
      </rPr>
      <t>Encargado Financiero</t>
    </r>
  </si>
  <si>
    <r>
      <t xml:space="preserve"> </t>
    </r>
    <r>
      <rPr>
        <b/>
        <sz val="11"/>
        <rFont val="Times New Roman"/>
        <family val="1"/>
      </rPr>
      <t xml:space="preserve"> Encargado de Contabilidad</t>
    </r>
  </si>
  <si>
    <t xml:space="preserve">                              Del Ministro y/o Director General</t>
  </si>
  <si>
    <t>Terreno</t>
  </si>
  <si>
    <t>Edif. Y componente</t>
  </si>
  <si>
    <t>Maq. Y Equipos</t>
  </si>
  <si>
    <t xml:space="preserve">Mob. Y equipo de ofic. </t>
  </si>
  <si>
    <t>Equipo Transp. y otros</t>
  </si>
  <si>
    <t>Construcciones en Proceso</t>
  </si>
  <si>
    <t>Adiciones</t>
  </si>
  <si>
    <t xml:space="preserve">Otras -Ajustes </t>
  </si>
  <si>
    <t>Retiros</t>
  </si>
  <si>
    <t xml:space="preserve">otros-Retiros </t>
  </si>
  <si>
    <r>
      <t>Mobiliarios y equipos neto (Nota 11)</t>
    </r>
    <r>
      <rPr>
        <sz val="11"/>
        <color indexed="10"/>
        <rFont val="Times New Roman"/>
        <family val="1"/>
      </rPr>
      <t xml:space="preserve"> </t>
    </r>
  </si>
  <si>
    <t>Total Activos Corrientes</t>
  </si>
  <si>
    <t>Total Activos no Corrientes</t>
  </si>
  <si>
    <t>Activos no Corrientes</t>
  </si>
  <si>
    <t>Pasivos Corrientes</t>
  </si>
  <si>
    <t>Total Pasivos Corrientes</t>
  </si>
  <si>
    <t xml:space="preserve">Total Pasivos </t>
  </si>
  <si>
    <t>Total Activos Netos/Patrimonio</t>
  </si>
  <si>
    <t>Total Pasivos y Activos Netos/Patrimonio</t>
  </si>
  <si>
    <r>
      <t xml:space="preserve">                                            </t>
    </r>
    <r>
      <rPr>
        <b/>
        <sz val="11"/>
        <color indexed="8"/>
        <rFont val="Times New Roman"/>
        <family val="1"/>
      </rPr>
      <t xml:space="preserve"> Del Ministro y/o Director General</t>
    </r>
  </si>
  <si>
    <t>Resultados Positivos (ahorro) / Negativo (desahorro)</t>
  </si>
  <si>
    <t>Total Ingresos</t>
  </si>
  <si>
    <t>Total Gastos</t>
  </si>
  <si>
    <t xml:space="preserve">                                   Relación de Ingresos de Captación Directa</t>
  </si>
  <si>
    <t>Sub-Total Neto Ingresos de Captación Directa</t>
  </si>
  <si>
    <t>Otros Ingresos:</t>
  </si>
  <si>
    <t>Asignación Presupuestaria del MICM</t>
  </si>
  <si>
    <t>Ingresos de Captación Directa</t>
  </si>
  <si>
    <t xml:space="preserve">                   Resumen de Ingresos</t>
  </si>
  <si>
    <t>de trabajos de Construcciones de la Ingeniera a la  Onapi por un valor de RD$1,616,329.37. Estas Cuentas se ana-</t>
  </si>
  <si>
    <t xml:space="preserve">la Ing. Acevedo.Se obtuvo como resultado respuestas via comunicaciones de las instituciones financieras:Banco </t>
  </si>
  <si>
    <t>BHD, León,Banco de Reservas de la República Dominicana, Banco Vimenca,Asociación Cibao de Ahorros y</t>
  </si>
  <si>
    <t>lizaron con la documentación correspondiente para su posterior cobro.En año 2015, se procedió a la solicitud</t>
  </si>
  <si>
    <t xml:space="preserve">Sentencia No.026-02-2020-SC IV-00386 por la Primera Sala de la Cámara  Civil  y Comercial de la Corte de         </t>
  </si>
  <si>
    <t>Apelación del D.N.,a cual conforme a Certificación de la Suprema Corte de Justicia no fue recurrida en casación</t>
  </si>
  <si>
    <t xml:space="preserve">y por tanto obtuvo la calidad de la cosa irrevocablemente juzgada,la ONAPI trabó embargo retentivo contra </t>
  </si>
  <si>
    <t xml:space="preserve">**Corresponde a Registro Contable No.152,387 del 30/06/2019 por un valor de RD$ 969,548.51.Según Sentencia </t>
  </si>
  <si>
    <t xml:space="preserve">No.2016-SSEN-00153, de el Tribunal Colegiado de la Cámara Penal del Juzgado de Primera Instancia del Distrito </t>
  </si>
  <si>
    <t>malversados y dejados de percibir por  el Estado Dominicano en los años 2010,2011. No ha sido objeto de apela-</t>
  </si>
  <si>
    <t>NOMBRE PROVEEDOR</t>
  </si>
  <si>
    <t>OBSERVACIONES</t>
  </si>
  <si>
    <t>SUB-TOTAL NETO</t>
  </si>
  <si>
    <t xml:space="preserve">                    Encargado Financiero </t>
  </si>
  <si>
    <t>Interinato</t>
  </si>
  <si>
    <t>Publicaciones de Avisos Oficiales</t>
  </si>
  <si>
    <t>Hospedaje</t>
  </si>
  <si>
    <t>Ley 134-03 10% CERTV</t>
  </si>
  <si>
    <t>Otros Cargos Bancarios-TC</t>
  </si>
  <si>
    <t>Otras Cargos Bancarios-Devolución de Fondos Reintegro</t>
  </si>
  <si>
    <t>Premios Literarios,Deportivos y Artisticos</t>
  </si>
  <si>
    <t>Préstamos,Banco Santa Cruz y Banco Caribe.Se obtuvieron los siguientes resultados: Banco BHD León USD$.39</t>
  </si>
  <si>
    <t>Banco de Reservas de la Rep. Dom. RD$5,540.12, y Banco Santa Cruz USD$1,245.19.</t>
  </si>
  <si>
    <t>Seguro de Vehículos</t>
  </si>
  <si>
    <t>Pistolas</t>
  </si>
  <si>
    <t>Tostadora</t>
  </si>
  <si>
    <t>Estufas</t>
  </si>
  <si>
    <t>Inversores O-Puerto Plata</t>
  </si>
  <si>
    <t>cuenta de RD$148,489,264.17.</t>
  </si>
  <si>
    <t xml:space="preserve">Activos Netos/Patrimonio </t>
  </si>
  <si>
    <t>Saldo al 01 de Enero de 2022</t>
  </si>
  <si>
    <t>Saldo al 31 de Diciembre del 2022</t>
  </si>
  <si>
    <t>Sub-Total Neto Principal-Web</t>
  </si>
  <si>
    <t>PREPARADO POR</t>
  </si>
  <si>
    <t>LIC. YENNY L. ACOSTA HERNANDEZ</t>
  </si>
  <si>
    <t>Equipos Adquiridos pendientes Instalar</t>
  </si>
  <si>
    <t xml:space="preserve">Estado de Comparación de los Importes Presupuestados y Realizados </t>
  </si>
  <si>
    <t>Presupuesto sobre la Base de Efectivo</t>
  </si>
  <si>
    <t>(Clasificación de Ingresos y Gastos por Objeto)</t>
  </si>
  <si>
    <r>
      <rPr>
        <b/>
        <sz val="11"/>
        <rFont val="Times New Roman"/>
        <family val="1"/>
      </rPr>
      <t>Concepto</t>
    </r>
  </si>
  <si>
    <t>Variación (D=A-B)</t>
  </si>
  <si>
    <r>
      <rPr>
        <b/>
        <sz val="11"/>
        <rFont val="Times New Roman"/>
        <family val="1"/>
      </rPr>
      <t>Ingresos totales</t>
    </r>
  </si>
  <si>
    <r>
      <rPr>
        <sz val="11"/>
        <rFont val="Times New Roman"/>
        <family val="1"/>
      </rPr>
      <t>Impuestos</t>
    </r>
  </si>
  <si>
    <r>
      <rPr>
        <sz val="11"/>
        <rFont val="Times New Roman"/>
        <family val="1"/>
      </rPr>
      <t>Contribuciones Sociales</t>
    </r>
  </si>
  <si>
    <r>
      <rPr>
        <sz val="11"/>
        <rFont val="Times New Roman"/>
        <family val="1"/>
      </rPr>
      <t>Donaciones</t>
    </r>
  </si>
  <si>
    <r>
      <rPr>
        <sz val="11"/>
        <rFont val="Times New Roman"/>
        <family val="1"/>
      </rPr>
      <t>Transferencias</t>
    </r>
  </si>
  <si>
    <r>
      <rPr>
        <sz val="11"/>
        <rFont val="Times New Roman"/>
        <family val="1"/>
      </rPr>
      <t>Ingresos por contraprestación</t>
    </r>
  </si>
  <si>
    <r>
      <rPr>
        <sz val="11"/>
        <rFont val="Times New Roman"/>
        <family val="1"/>
      </rPr>
      <t>Otros ingresos</t>
    </r>
  </si>
  <si>
    <r>
      <rPr>
        <sz val="11"/>
        <rFont val="Times New Roman"/>
        <family val="1"/>
      </rPr>
      <t>Venta de activos no financieros</t>
    </r>
  </si>
  <si>
    <r>
      <rPr>
        <sz val="11"/>
        <rFont val="Times New Roman"/>
        <family val="1"/>
      </rPr>
      <t>Activos financieros con fines de política</t>
    </r>
  </si>
  <si>
    <r>
      <rPr>
        <sz val="11"/>
        <rFont val="Times New Roman"/>
        <family val="1"/>
      </rPr>
      <t>Ingresos a especificar</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</si>
  <si>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</si>
  <si>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</si>
  <si>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</si>
  <si>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</si>
  <si>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Transferencias corrientes</t>
    </r>
  </si>
  <si>
    <r>
      <rPr>
        <sz val="11"/>
        <rFont val="Times New Roman"/>
        <family val="1"/>
      </rPr>
      <t>Transferencias de capital</t>
    </r>
  </si>
  <si>
    <r>
      <rPr>
        <sz val="11"/>
        <rFont val="Times New Roman"/>
        <family val="1"/>
      </rPr>
      <t>Bienes muebles, inmuebles e intangibles</t>
    </r>
  </si>
  <si>
    <r>
      <rPr>
        <sz val="11"/>
        <rFont val="Times New Roman"/>
        <family val="1"/>
      </rPr>
      <t>Obras</t>
    </r>
  </si>
  <si>
    <t>Adquisición de Activos Financieros con fines de Políticas</t>
  </si>
  <si>
    <r>
      <rPr>
        <sz val="11"/>
        <rFont val="Times New Roman"/>
        <family val="1"/>
      </rPr>
      <t>Gastos financieros</t>
    </r>
  </si>
  <si>
    <r>
      <rPr>
        <b/>
        <sz val="12"/>
        <color indexed="63"/>
        <rFont val="Times New Roman"/>
        <family val="1"/>
      </rPr>
      <t>Resultado financiero (1-2)</t>
    </r>
  </si>
  <si>
    <t xml:space="preserve">            Del Ministro y/o Director General</t>
  </si>
  <si>
    <t>Costos de Adquisición (Ene. 2022)</t>
  </si>
  <si>
    <t>Saldo al final del Periodo</t>
  </si>
  <si>
    <t>Dep. Acum. al Inicio del Periodo</t>
  </si>
  <si>
    <t>Cargo del Periodo</t>
  </si>
  <si>
    <t>Saldo al Final del Periodo</t>
  </si>
  <si>
    <t>Prop. Planta y Equipos Netos al (31-12-2022)</t>
  </si>
  <si>
    <t>Costos de Adquisición (Ene. 2021)</t>
  </si>
  <si>
    <t>Prop. Planta y Equipos Netos al (31-12-2021)</t>
  </si>
  <si>
    <t>Nota: En la Depreciación Acumulada del Equipo de Transporte se realizó una Reclasificación por valor de RD$356,134.86, por cambio en los años de la Vida Util.Este monto corresponde</t>
  </si>
  <si>
    <t>a la transferencia del Ascensor (estaba clasificado en la cuenta de Mejoras a Propiedad del Estado con vida útil a 50 Años), al rubro Equipo de Transporte con una vida Util a 20 Años.Esta</t>
  </si>
  <si>
    <t>reclasificación se realizó en cumplimiento a lo estabecido en el Catálogo de Bienes de Estado.</t>
  </si>
  <si>
    <t>DIFERENCIAS IDENTIFICADAS</t>
  </si>
  <si>
    <t xml:space="preserve">REINTEGRO DE LIB. </t>
  </si>
  <si>
    <t>DIAS  NO TRABAJADOS LIB. 2022</t>
  </si>
  <si>
    <t>DIAS  NO TRABAJADOS LIB. 2021</t>
  </si>
  <si>
    <t>DIFERENCIA</t>
  </si>
  <si>
    <t>TOTAL DIFERENCIAS IDENTIFICADAS</t>
  </si>
  <si>
    <t>Compensación Extraordinaria</t>
  </si>
  <si>
    <t>SIGEF</t>
  </si>
  <si>
    <t>PARA REGISTRAR FACTURA CON NCF B1500262768, POR SERVICIO DE ENERGIA ELECTRICA MES DE DICIEMBRE 2021.DEL 02/11/2021-02/12/2021.</t>
  </si>
  <si>
    <t>LLEVADAS A INVENTARIO</t>
  </si>
  <si>
    <t>FACTURAS DE AÑOS ANTERIORES</t>
  </si>
  <si>
    <t>LLEVADO A OTRO GASTO</t>
  </si>
  <si>
    <t>CORRESPONDE A GASTOS DE CAJA CHICA/LIQ. TRANSFERENCIAS</t>
  </si>
  <si>
    <t>NOTA 26:</t>
  </si>
  <si>
    <t>Gastos (Notas 20, 21, 22, 23, 24,25,26)</t>
  </si>
  <si>
    <t>DA-12016-248</t>
  </si>
  <si>
    <t>R-SOSA CONSTRUCTORA</t>
  </si>
  <si>
    <t>METALGLASS VENTANAS Y CRISTALES DEL ROSARIO, S.R.L.</t>
  </si>
  <si>
    <t>COMERCIAL UYN, S.R.L.</t>
  </si>
  <si>
    <t>HUASCAR ANTONIO TAVAREZ GUZMAN</t>
  </si>
  <si>
    <t>MERCANTIL RAMI, S.R.L.</t>
  </si>
  <si>
    <t>SERVICIOS E INSTALACIONES TECNICAS, S.R.L.</t>
  </si>
  <si>
    <t>ALFA DIGITAL SINGS AND GRAPHICS, S.R.L.</t>
  </si>
  <si>
    <t>GTG INDUSTRIAL, S.R.L.</t>
  </si>
  <si>
    <t>B1500000230</t>
  </si>
  <si>
    <t>NJCJ SUPLIDORES, S.R.L.</t>
  </si>
  <si>
    <t>B1500000179</t>
  </si>
  <si>
    <t>PAPELES CARIBE, S. A.</t>
  </si>
  <si>
    <t>PUBLICACIONES AHORA, C. POR A.</t>
  </si>
  <si>
    <t>RESTAURANT BOGA BOGA, S.R.L.</t>
  </si>
  <si>
    <t>B1500000403</t>
  </si>
  <si>
    <t>SIMPAPEL, S.R.L.</t>
  </si>
  <si>
    <t>ANASTACIA FELICIA SANCHEZ DE CASTRO</t>
  </si>
  <si>
    <t>B1500000162</t>
  </si>
  <si>
    <t>CENTRO COMERCIAL CORAL MALL</t>
  </si>
  <si>
    <t>COLUMBUS NETWORKS DOMINICANA, S.A.</t>
  </si>
  <si>
    <t>B1500000032</t>
  </si>
  <si>
    <t>JESUS DEL CARMEN BATISTA CANELA</t>
  </si>
  <si>
    <t>MARINO RAMIREZ GRULLON</t>
  </si>
  <si>
    <t>SEGURO NACIONAL DE SALUD</t>
  </si>
  <si>
    <t>VISION INTEGRAL, S.R.L.</t>
  </si>
  <si>
    <t>Otros Pagos-Sobregiro Bancario</t>
  </si>
  <si>
    <t>Otros cobros-Sobregiro Bancarios</t>
  </si>
  <si>
    <t>El cargo del  Periodo hace un valor de RD$13,531,623.84 . El monto de RD$13,656,073.77 , en este total se adiciona por observación de la DIGECOG RD$124,449.43.Ya verificado en observaciones</t>
  </si>
  <si>
    <t>Total Terreno</t>
  </si>
  <si>
    <t>Nota: En estas partidas existe un monto de RD$30,744.19, de (6) Sillones que al 31122022, no han sido ubicados al custodio,</t>
  </si>
  <si>
    <t>por tal razón no está incluido en el monto de la Depreciación Acumulada.</t>
  </si>
  <si>
    <t>El aumento de la partida Otros Mobiliarios y Equipos de Oficina se debe a compra de un Contenedor por valor de RD$942,984.02,</t>
  </si>
  <si>
    <t>Compra de Anaqueles por valor de RD$295,944.00, y compra de Equipos de Audio por valor de RD$101,244.00.</t>
  </si>
  <si>
    <t xml:space="preserve">                                                                                   Relación de Gastos Años 2023,2022</t>
  </si>
  <si>
    <t>NOTA  22:</t>
  </si>
  <si>
    <t>NOTA 25:</t>
  </si>
  <si>
    <t>Servicios de Catering</t>
  </si>
  <si>
    <t>Cuentas Incobrables y Gastos Por Liquidar</t>
  </si>
  <si>
    <t>Otros Productos Quimicos y Conexos</t>
  </si>
  <si>
    <t>Dif. Cambiarias/Otras Comp.</t>
  </si>
  <si>
    <t>Mesa de Examen Simple de (1) Posición</t>
  </si>
  <si>
    <t>Monitor de Signos Vitales,Multiparametro</t>
  </si>
  <si>
    <t>Maquinas Sumadoras O-Este</t>
  </si>
  <si>
    <t>Equipo Educacional y Recreación-O-Norte</t>
  </si>
  <si>
    <t>Máquinas Sumadoras-S.F.M.</t>
  </si>
  <si>
    <t>Monitores-S.F.M.</t>
  </si>
  <si>
    <t>Detector Profesional de Metales</t>
  </si>
  <si>
    <t>Cámara Digital -O-Central</t>
  </si>
  <si>
    <t>Microfono Portatil-O-Central</t>
  </si>
  <si>
    <t>Audifonos Profesionales-O-Central</t>
  </si>
  <si>
    <t>Inversores Puerto Plata</t>
  </si>
  <si>
    <t>Contenedor High Cube 40 pies</t>
  </si>
  <si>
    <t>Depreciación Años Anteriores-Sistema Tratamiento de Agua</t>
  </si>
  <si>
    <t>Nota: La Onapi empezó en el 2021 a realizar los registros de la Depreciación del Sistema SIAB,en el Sistema Contables interno, basada en la Vida Util del  Catalogo de Bienes del  Estado,por lo que se realizarán los ajustes de lugar en caso de requerirlo en el Sistema Contable. Los  rubros que presentan la señalización con  (*) ,estas cuentas contables fueron creadas basadas en la segregación  del Catálogo de Bienes del Estado y realizados los ajustes de lugar.Basado en la NICSP 3 se corrige monto no depreciado en el cambio de Sistema de Activos Fijos al SIAB(**).</t>
  </si>
  <si>
    <t xml:space="preserve">*Se realizó un análisis y se llevó a Cuentas Incobrables RD$25.00, de Comisión se reclamó a American Amex </t>
  </si>
  <si>
    <t>Excedentes en Recaudaciones/Faltante-Neto-Otros</t>
  </si>
  <si>
    <t>Nota: el dia 20122023, se registra una diferencia de RD$20.00, por error en cancelación de recibo</t>
  </si>
  <si>
    <t>esta diferencia se lleva a cuenta Diferencia entre sistemas.Ver reporte de la Oficina Regional Norte</t>
  </si>
  <si>
    <t>Nota: existe un monto de RD$452,655.15, depositado por la Tesoreria Nacional</t>
  </si>
  <si>
    <t>el Area Financiera está en verificación. Dicho monto está incluido en Otros Ingresos</t>
  </si>
  <si>
    <t xml:space="preserve"> Enero-Diciembre del 2023</t>
  </si>
  <si>
    <t>Total Ingresos de Enero a Diciembre  del  2023</t>
  </si>
  <si>
    <t>Nota: Por recomendación  de la UAI (CGRD) en el año 2023, se cierra el Fondo de Caja Chica de Tesoreria</t>
  </si>
  <si>
    <t>y se disminuye el Fondo Fijo de Recaudaciones a RD$15,000.00</t>
  </si>
  <si>
    <t>1-Sub-Cuenta 9995003000 un balance en USD de $24,242.52 ,equivalente en RD$1,360,684.73</t>
  </si>
  <si>
    <t>2-Sub-Cuenta 00100022000 un balance en USD de $23,281.81,equivalente en RD$1,304,528.71</t>
  </si>
  <si>
    <t>Cuenta No.9995003001 en USD$,  el negativo al 31/12/2023 del equivalente en Pesos  corresponde a que el día</t>
  </si>
  <si>
    <t>la OMPI y la  OEPM ,siendo el equivalente en pesos de RD$35,056.99, generando el negativo  en pesos</t>
  </si>
  <si>
    <t>de (RD$5,461.22). Por sugerencia de la DIGECOG y según NICSP se lleva a Sobregiro Bancario para fines de presentación.</t>
  </si>
  <si>
    <t>08/12/2023  el balance de la Cuenta en pesos fué de RD$29,595.77, y se realizó el Ordenamiento de pago a</t>
  </si>
  <si>
    <t>del equivalente en Pesos, este balance corresponde a que el 03/02/2023  el balance de la sub-cuenta en pesosl</t>
  </si>
  <si>
    <t>fue de RD$167,732.35 y la Tesoreria Nacional realizó una transferencia a la Sub-Cuenta en EUR No.9995002001</t>
  </si>
  <si>
    <t>siendo el equivalente en Pesos de RD$168,453.06, generando el negativo de (RD$720.71).La Tesoreria Nacional</t>
  </si>
  <si>
    <t xml:space="preserve">no ha realizado ajuste.Por sugerencia de la DIGECOG y según NICSP se lleva a Sobregiro Bancario para fines </t>
  </si>
  <si>
    <t>de presentación.</t>
  </si>
  <si>
    <t xml:space="preserve"> del equivalente en Pesos y corresponde a que el dia 01/03/2023 el  equivalente en Pesos fué de RD$168,453.06 </t>
  </si>
  <si>
    <t xml:space="preserve">Se realizó un Ordenamiento de Pago a la Secretaria General Iberoamericana siendo equivalente en pesos de   </t>
  </si>
  <si>
    <r>
      <t>RD$170,249.62 ,generandose el negativo en Pesos de (RD$1,796.56).La Tesoreria Nacional no ha realizado ajuste.</t>
    </r>
    <r>
      <rPr>
        <sz val="12"/>
        <color indexed="9"/>
        <rFont val="Book Antiqua"/>
        <family val="1"/>
      </rPr>
      <t xml:space="preserve">Se realiza un asiento contable con la </t>
    </r>
  </si>
  <si>
    <t xml:space="preserve">Por sugerencia de la DIGECOG y según NICSP se lleva a Sobregiro Bancario para fines de presentación. </t>
  </si>
  <si>
    <t>via la Web del dia 31/12/2023, cuya  liquidación Cardnet la realiza el dia 01012024.</t>
  </si>
  <si>
    <t xml:space="preserve">                                Valores en RD$</t>
  </si>
  <si>
    <t xml:space="preserve">        AL 31 de Diciembre del  2023,2022</t>
  </si>
  <si>
    <t xml:space="preserve">                Notas a los Estados Financieros</t>
  </si>
  <si>
    <t xml:space="preserve">                                      ( ONAPI)</t>
  </si>
  <si>
    <t xml:space="preserve">Nacional en  la cual condena a la imputada Sra. Patricia Sánchez Vásquez a la devolución  de los valores </t>
  </si>
  <si>
    <t>**Reclamaciones por cobrar, ver nota No.25 de  Notas al Estado de Resultados</t>
  </si>
  <si>
    <t>al Area de  Jurídica para los fines correspondientes.El estatus al 31/Diciembre/2023 es que la ONAPI amparada en la</t>
  </si>
  <si>
    <t>ción, por lo que el estatus al 31/12/2023 sigue igual.</t>
  </si>
  <si>
    <t xml:space="preserve">actvo asi como su depreciación acumulada al 2023,el método </t>
  </si>
  <si>
    <t>Monitor de Signo Vitales Multiparametral</t>
  </si>
  <si>
    <t>su depreciación acumulada al 2023,el método utilizado es el de Linea Recta,</t>
  </si>
  <si>
    <t>de cada Oficina al 2023</t>
  </si>
  <si>
    <t xml:space="preserve"> cuenta al 31-12-2021 es de RD$148,391,678.17.siendo el valor al 31 de Diciembre del 2023  de esta </t>
  </si>
  <si>
    <t>Soldadora Inverter 160 AMP</t>
  </si>
  <si>
    <t>Arcos y  Detectores de Metales Profesionales</t>
  </si>
  <si>
    <t>Automoviles (1)</t>
  </si>
  <si>
    <t>Nota: 16</t>
  </si>
  <si>
    <t>Activos Netos/Patrimonio</t>
  </si>
  <si>
    <t>Resultados positivos (ahorro) / negativo (desahorro)</t>
  </si>
  <si>
    <t>Resultados acumulados  (Nota 16)</t>
  </si>
  <si>
    <t>Total Nota 16:Activos Netos/Patrimonio</t>
  </si>
  <si>
    <t>AÑOS 2023,2022</t>
  </si>
  <si>
    <t>Pistola</t>
  </si>
  <si>
    <t>Dep. Acum. Sistema de Seguridad Rider Lock</t>
  </si>
  <si>
    <t>Neveras</t>
  </si>
  <si>
    <t>Inversores Onapi Puerto Plata</t>
  </si>
  <si>
    <t>Mob. En Proceso de Ubicación</t>
  </si>
  <si>
    <t>Equipo de Comunicación Santiago</t>
  </si>
  <si>
    <t>Equipo de Comunicación Este</t>
  </si>
  <si>
    <t>Equipos de Comunicación-S.F.M.</t>
  </si>
  <si>
    <t>RESUMEN DE ACTIVOS FIJOS:</t>
  </si>
  <si>
    <t>TOTAL NOTA 11:  TERRENO</t>
  </si>
  <si>
    <t>TOTAL NOTA 11:  EDIFICACIONES ONAPI REGIONAL ESTE-NETO</t>
  </si>
  <si>
    <t>TOTAL NOTA 11:  CONSTRUCCIONES EN PROCESO</t>
  </si>
  <si>
    <t>TOTAL NOTA 11:  BIENES DE USO-MOB. EQ. DE COMPUTO-OTROS</t>
  </si>
  <si>
    <t>TOTAL NOTA 11:ADQ. BIENES DE USO PENDIENTE DE ASIGNACION</t>
  </si>
  <si>
    <t>TOTAL NOTA 11: BIENES -MEJORAS PROPIEDAD DEL ESTADO</t>
  </si>
  <si>
    <t>TOTAL NOTA 12: BIENES INTANGIBLES</t>
  </si>
  <si>
    <t xml:space="preserve">TOTAL RESUMEN DE ACTIVOS FIJOS :  </t>
  </si>
  <si>
    <t>Del 01 de Enero al  31 de Diciembre de 2023 y 2022</t>
  </si>
  <si>
    <t>Obligaciones de Pagos por Sobregiro Bancario a la Tesoreria Nacional</t>
  </si>
  <si>
    <t>c</t>
  </si>
  <si>
    <t>Arcos y   Detectores de Metales</t>
  </si>
  <si>
    <t xml:space="preserve">                                                                                    Del  1ero. Al  31 de Diciembre del 2023 y 2022</t>
  </si>
  <si>
    <t>Los Ingresos de Captación Directa Netos tuvieron un aumento de RD$34,578,323.00  en el  del 2023 en relación al 2022,</t>
  </si>
  <si>
    <t>representando  el aumento en termino porcentual de un 7%, indicando un buen manejo Económico y Financiero de la Onapi.</t>
  </si>
  <si>
    <t>La institución recibió en al Año 2023 por concepto de Asignación Presupuestaria por parte del MICM un monto de RD$59,100,260.00</t>
  </si>
  <si>
    <t>Incluyen un monto de RD$749,965.00 de Otros Ingresos, se componen como sigue:</t>
  </si>
  <si>
    <t>1-Devolución de la Tesoreria Nacional por Subsidios de Maternidad y Lactancia RD$276,898.05</t>
  </si>
  <si>
    <t>3-RD$20,411.93, de diferencias cambiarias en pagos Internacionales y ajustes de la Tesoreria Nacional en las sub-cuentas por Diferencias Cambiarias y Procesos Varios.</t>
  </si>
  <si>
    <t>2-Ingresos por verificar con la Tesoreria Nacional RD$452,655.15</t>
  </si>
  <si>
    <t>Mobiliarios y Equipos Netos:</t>
  </si>
  <si>
    <t>Costos de adquisición (Ene. 2023)</t>
  </si>
  <si>
    <t>Saldo al final del periodo</t>
  </si>
  <si>
    <t>Dep. Acum. Al inicio del Periodo</t>
  </si>
  <si>
    <t>Saldo al final el periodo</t>
  </si>
  <si>
    <t>Nota: La ONAPI está en proceso de terminar de insertar los Activos fIjos en en el SIAB y de Conciliar para finalizar los ajustes de lugar.Pendiente ajustes de Conciliación con el Sistema SIAB y Sistema</t>
  </si>
  <si>
    <t>Prop. planta y Equipos Netos (31-12-2023)</t>
  </si>
  <si>
    <t>Saldo al 01 de Enero de 2023</t>
  </si>
  <si>
    <t>Del 01 de Enero al 31 de Diciembre del 2023 y 2022</t>
  </si>
  <si>
    <t>Saldo al 31 de Diciembre del 2023</t>
  </si>
  <si>
    <t>Las notas desde la Página 07 hasta la Página No.07 son parte integral de estos Estados Financieros.</t>
  </si>
  <si>
    <t>Notas: Los ajustes al resultados acumulados en el año 2023 corresponde a:</t>
  </si>
  <si>
    <t>1-Ajuste de Notas de Crédito Vencidas no usadas por los clientes por valor de  RD$42,939.88</t>
  </si>
  <si>
    <t>2-Ajuste por Recomendación de la DIGECOG al 30 de Junio del 2023 RD$20,981.34 correspondiente a pagos en transferencias Nos.</t>
  </si>
  <si>
    <t>267 y 307 del año 2022, liquidaciones y pagos de las mismas el año 2022, estaba cerrado ver entradas de diaros Nos.184,058 y 184,059</t>
  </si>
  <si>
    <t>Del 01 de Enero al  31 de Diciembre del 2023 y 2022</t>
  </si>
  <si>
    <t>Las notas desde la Página 10 hasta la Página No.13 son parte integral de estos Estados Financieros.</t>
  </si>
  <si>
    <t xml:space="preserve">Notas: Los pagos a trabajadores se incluyen otras compensaciones a colaboradores como viáticos, seguros.En los pagos a Proveedores </t>
  </si>
  <si>
    <t>corresponden a las pártidas pagadas a Proveedores por suministros de bienes y servicios.En Otros Pagos están incluidos el pago por</t>
  </si>
  <si>
    <t xml:space="preserve">retenciones de Impuestos.En otros pagos actividades de financiación están incluidad las  pártidas de  los cargos por comisiones </t>
  </si>
  <si>
    <t>bancarias.</t>
  </si>
  <si>
    <t xml:space="preserve">Nota: Los Ajustes de Ejercicios anteriores corresponden a un monto neto de RD$63,921.18,corresponde a  por: Notas de </t>
  </si>
  <si>
    <t>Créditos de Clientes  no usadas al 31 de Diciembre  del 2023 RD$42,939.84 y registros ED-184,058 Y 184,059 por transferencia</t>
  </si>
  <si>
    <t xml:space="preserve"> Nos.2022-267 y 307 y recomendación de la DIGECOG a EF al 30 de Junio del 2023 por valor de RD$20,981.34.</t>
  </si>
  <si>
    <t xml:space="preserve">              Encargado Contabilidad </t>
  </si>
  <si>
    <t>Las notas desde la Página 01 hasta la Página No.09 son parte integral de estos Estados Financieros.</t>
  </si>
  <si>
    <r>
      <t xml:space="preserve">      </t>
    </r>
    <r>
      <rPr>
        <b/>
        <sz val="11"/>
        <rFont val="Times New Roman"/>
        <family val="1"/>
      </rPr>
      <t>Encargado Financiero</t>
    </r>
  </si>
  <si>
    <t xml:space="preserve">*La partida de Jeepetas y Minibus  corresponde a la adquisición de un Minibus Toyota Hiace año 2023, fecha de registro </t>
  </si>
  <si>
    <t>Octubre del 2023.El valor de Adquisición fue de RD$3,713,850.00.</t>
  </si>
  <si>
    <t>RD$1,499.90.Al considerar la partida de poca relevancia y los años de la misma.</t>
  </si>
  <si>
    <t xml:space="preserve">en un deposito por error de fecha 25112020, rebajaron RD$1,524.00 y depositaron por error el 19112020 </t>
  </si>
  <si>
    <t>Las notas desde la Página No.01 hasta la Página No.06 son parte integral de estos Estados Financieros.</t>
  </si>
  <si>
    <t>Del 01 de Enero  al 31 de Diciembre del 2023 y 2022</t>
  </si>
  <si>
    <t xml:space="preserve">anteriores. </t>
  </si>
  <si>
    <t>RELACION DE CUENTAS POR PAGAR PROVEEDORES LOCALES</t>
  </si>
  <si>
    <t>FECHA REGISTRO  FACTURA</t>
  </si>
  <si>
    <t>VALOR NETO RD$</t>
  </si>
  <si>
    <t>A LA ESPERA DE FACTURA PARA CIERRE</t>
  </si>
  <si>
    <t>B1500000018</t>
  </si>
  <si>
    <t>15/09/2022</t>
  </si>
  <si>
    <t>B15000000397-ORD114831 LIB. 1831-1</t>
  </si>
  <si>
    <t>DIFERENCIA EN PAGO EN LIB. No.3031-1 DE FECHA  28/12/2022</t>
  </si>
  <si>
    <t>B1500000043</t>
  </si>
  <si>
    <t>GARIB NG, S.R.L.</t>
  </si>
  <si>
    <t>FL&amp;M COMERCIAL, S.R.L.</t>
  </si>
  <si>
    <t>LAURA PATRICIA VALDEZ MERAN</t>
  </si>
  <si>
    <t>B1500000280</t>
  </si>
  <si>
    <t>DITA SERVICES,S.R.L.</t>
  </si>
  <si>
    <t>GRUPO HICIANO GRUHINC, S.R.L.</t>
  </si>
  <si>
    <t>AUTO MECANICA GOMEZ &amp; ASOCIADOS, S.R.L.</t>
  </si>
  <si>
    <t>NEDERCORP INVESTMENT, S.R.L.</t>
  </si>
  <si>
    <t>MIGUEL A. MENDEZ MOQUETE</t>
  </si>
  <si>
    <t>AENOR DOMINICANA, S.R.L.</t>
  </si>
  <si>
    <t>TOTAL CUENTAS POR PAGAR PROVEEDORES LOCALES</t>
  </si>
  <si>
    <t>JOFIEL CASTILLO PAULINO</t>
  </si>
  <si>
    <t>RAFAELITO FELIZ FELIZ</t>
  </si>
  <si>
    <t xml:space="preserve">                                                            Del Ministro y/o Director General</t>
  </si>
  <si>
    <t xml:space="preserve">                                                  Encargado Contabilidad </t>
  </si>
  <si>
    <t>AL 31 DE DICIEMBRE  DEL 2023</t>
  </si>
  <si>
    <t>B1500005318</t>
  </si>
  <si>
    <t>B1500000395</t>
  </si>
  <si>
    <t>B1500000276</t>
  </si>
  <si>
    <t>B1500001856</t>
  </si>
  <si>
    <t>FLORISTERIA ZUNIFLOR, S.A.</t>
  </si>
  <si>
    <t>B1500002840</t>
  </si>
  <si>
    <t>B1500000598</t>
  </si>
  <si>
    <t>B1500000682</t>
  </si>
  <si>
    <t>B1500000342</t>
  </si>
  <si>
    <t>SINERGIT S. A.</t>
  </si>
  <si>
    <t>B1500000825</t>
  </si>
  <si>
    <t>RAMON MARCELINO TREMOLS</t>
  </si>
  <si>
    <t>B1500000066</t>
  </si>
  <si>
    <t>B1500000837</t>
  </si>
  <si>
    <t>B1500000488</t>
  </si>
  <si>
    <t>CARPAS DOMINICANAS</t>
  </si>
  <si>
    <t>B1500000078</t>
  </si>
  <si>
    <t>B1500000014.</t>
  </si>
  <si>
    <t>B1500000277</t>
  </si>
  <si>
    <t>B1500000278</t>
  </si>
  <si>
    <t>B1500000279</t>
  </si>
  <si>
    <t>B1500001298</t>
  </si>
  <si>
    <t>MARIA NIEVES ALVAREZ REVILLA</t>
  </si>
  <si>
    <t>B1500000379</t>
  </si>
  <si>
    <t>ONANEY AMELIA MENDEZ HERASME</t>
  </si>
  <si>
    <t>B1500003711.</t>
  </si>
  <si>
    <t>B1500002713</t>
  </si>
  <si>
    <t>B1500001151</t>
  </si>
  <si>
    <t>B1500000105</t>
  </si>
  <si>
    <t>B1500000428</t>
  </si>
  <si>
    <t>B1500000238</t>
  </si>
  <si>
    <t>ALTAGRACIA GRACIA JIMENEZ DE PEGUERO</t>
  </si>
  <si>
    <t>B1500000356</t>
  </si>
  <si>
    <t>B1500003045</t>
  </si>
  <si>
    <t>B1500001041</t>
  </si>
  <si>
    <t>B1500000490</t>
  </si>
  <si>
    <t>B1500000266</t>
  </si>
  <si>
    <t>B1500000205</t>
  </si>
  <si>
    <t>B1500005064</t>
  </si>
  <si>
    <t>B1500000355</t>
  </si>
  <si>
    <t>B1500001891</t>
  </si>
  <si>
    <t>B1500001892</t>
  </si>
  <si>
    <t>EXPRESS SERVICIOS LOGISTICOS ESLOGIST, EIRL</t>
  </si>
  <si>
    <t>B1500000010</t>
  </si>
  <si>
    <t>FRANKLYN EZEQUIEL TAVERAS GARCIA</t>
  </si>
  <si>
    <t>B1100000091</t>
  </si>
  <si>
    <t>GENRY EVERTO MENDEZ MOQUETE</t>
  </si>
  <si>
    <t>B1500000179.</t>
  </si>
  <si>
    <t>B1500000033</t>
  </si>
  <si>
    <t>B1500000079</t>
  </si>
  <si>
    <t>B1500000151</t>
  </si>
  <si>
    <t>B1500000283</t>
  </si>
  <si>
    <t>B1500000290</t>
  </si>
  <si>
    <t>B1500000291</t>
  </si>
  <si>
    <t>B1500000049</t>
  </si>
  <si>
    <t>B1500003225</t>
  </si>
  <si>
    <t>MUEBLES OMAR, C. POR A.</t>
  </si>
  <si>
    <t>B1500000168</t>
  </si>
  <si>
    <t>PROLIMDES COMERCIAL</t>
  </si>
  <si>
    <t>B1500003732</t>
  </si>
  <si>
    <t>B1500010858</t>
  </si>
  <si>
    <t>E450000000017</t>
  </si>
  <si>
    <t>SUPLIDORA REYSA, EIRL</t>
  </si>
  <si>
    <t>B1500000317</t>
  </si>
  <si>
    <t>BEST SUPPLY, S.R.L.</t>
  </si>
  <si>
    <t>DISTRIBUIDORA Y SERVICIOS DIVERSOS DISOPE S.R.L.</t>
  </si>
  <si>
    <t>GL PROMOCIONES S.R.L.</t>
  </si>
  <si>
    <t>OFFITEK, S.R.L.</t>
  </si>
  <si>
    <t>DISTRIBUIDORA Y SERVICIOS DIVERSOS DISOPE S.R.L.-NOTA DE CERDITO</t>
  </si>
  <si>
    <t>LUYENS COMERCIAL, S.R.L.</t>
  </si>
  <si>
    <t>MUDANZAS DOMINICANAS, S.R.L.</t>
  </si>
  <si>
    <t>SUMINISTROS GUIPAK, S.R.L.</t>
  </si>
  <si>
    <t>URBAN COFFEE BAR MZC, S.R.L.</t>
  </si>
  <si>
    <t>BH MOBILIARIO, S.R.L.</t>
  </si>
  <si>
    <t>BROTHERS RSR SUPPLY OFFICES, S.R.L.</t>
  </si>
  <si>
    <t>CATORCE TV, S.R.L.</t>
  </si>
  <si>
    <t>GRUPO CARMETA, S.R.L.</t>
  </si>
  <si>
    <t>ECO PETROLEO DOMINICANA, S. A.</t>
  </si>
  <si>
    <t>GL PROMOCIONES, S.R.L.</t>
  </si>
  <si>
    <t>SINERGIT, S. A.</t>
  </si>
  <si>
    <t>TECNOELITE, S.R.L.</t>
  </si>
  <si>
    <t>FECHA</t>
  </si>
  <si>
    <t>BENEFICIARIO</t>
  </si>
  <si>
    <t>CONCEPTO</t>
  </si>
  <si>
    <t xml:space="preserve">OBSERVACIONES </t>
  </si>
  <si>
    <t>PARA REGISTRAR TRASLADO EL DIA 15  DE JULIO HACIA LA PROVINCIA SAN CRISTOBAL, CON MOTIVO DE IMPARTIR UNA CHARLA SOBRE PATENTES UNIVERSITARIAS AL POLITECNICO LOYOLA. SALIENDO ANTES DE LAS 8:00 AM RETORNANDO A LAS 2:00 PM DEL MISMO DIA.</t>
  </si>
  <si>
    <t>PEDRO WILSON GRULLON</t>
  </si>
  <si>
    <t>PARA REGISTRAR TRASLADO DEL DIA 13 DE DICIEMBRE HACIA LA OFICINA SAN FRANCISCO DE MACORIS Y LA OFICINA REGIONAL NORTE, CON MOTIVO DE CONFIGURAR LAS IMPRESORAS Y REALIZAR INSTALACIONES DE EQUIPOS. SALIENDO A LAS 5:45 AM RETORNANDO DESPUES DE LAS 6:30 PM DEL MISMO DIA.</t>
  </si>
  <si>
    <t>WILKING UREÑA</t>
  </si>
  <si>
    <t>RELACION DE VIATICOS POR PAGAR</t>
  </si>
  <si>
    <t>VALOR EN RD$</t>
  </si>
  <si>
    <t xml:space="preserve">                                                               Del Ministro y/o Director General</t>
  </si>
  <si>
    <t>B1500000174</t>
  </si>
  <si>
    <t>B1500000607</t>
  </si>
  <si>
    <t>B1500000340</t>
  </si>
  <si>
    <t>B1500001137</t>
  </si>
  <si>
    <t>B1500003048</t>
  </si>
  <si>
    <t>B1500000677</t>
  </si>
  <si>
    <t>B1500002894</t>
  </si>
  <si>
    <t>B1500002997</t>
  </si>
  <si>
    <t>B1500000188</t>
  </si>
  <si>
    <t>B1500001373</t>
  </si>
  <si>
    <t>B1500001937</t>
  </si>
  <si>
    <t>B1500001163</t>
  </si>
  <si>
    <t>B1500000393</t>
  </si>
  <si>
    <t>B1500003849</t>
  </si>
  <si>
    <t>B1500001923</t>
  </si>
  <si>
    <t>FACTURA NCF No.</t>
  </si>
  <si>
    <t>Cierre de Operaciones Contable al 31 Diciembre de 2023</t>
  </si>
  <si>
    <t>% de Variación Ejecución (C=B/A)</t>
  </si>
  <si>
    <t>Presupuesto Reformado (A)</t>
  </si>
  <si>
    <t>Presupuesto Ejecutado (B)</t>
  </si>
  <si>
    <t>movimientos de estas sub-cuentas la ONAPI en el SIGEF en nuestro sistema contable se registra con la fecha de registro.</t>
  </si>
  <si>
    <t>3-La Sub-Cuentas Nos. 995000800 y 995008001 presentan un Balance de RD$279,003,786.32 y RD$2,201,333.83 debido a que los</t>
  </si>
  <si>
    <t>4-Los Montos en negativo los ajustes lo realiza la Tesoreria Nacional en el año siguiente. El balance de la Sub-</t>
  </si>
  <si>
    <t xml:space="preserve">5-La Sub-Cuenta Cuenta No.9995002000 en EUR  al 31/12/2023 presenta un balance en negativo de (RD$720.71) </t>
  </si>
  <si>
    <t xml:space="preserve">6-La Sub-Cuenta Cuenta No.9995002001 en EUR  al 31/12/2023 presenta un balance en negativo de (RD$1,796.56) </t>
  </si>
  <si>
    <t xml:space="preserve">7-El Monto de los balances en negativo de las Sub-Cuentas Nos. 9995003001,9995002000 y 9995002001 hacen un </t>
  </si>
  <si>
    <t xml:space="preserve">8-El Monto de Recaudaciones en Tránsito por valor de RD$4,755.00 corresponde al Lote No.151, de recaudaciones </t>
  </si>
  <si>
    <t>Fondo Menudo San Francisco de Macoris</t>
  </si>
  <si>
    <t>TOTAL NOTA No. 13: SOBREGIRO BANCARIO</t>
  </si>
  <si>
    <t>Nota: 14</t>
  </si>
  <si>
    <t>TOTAL NOTA No. 14:CUENTAS POR PAGAR</t>
  </si>
  <si>
    <t>Nota: 17</t>
  </si>
  <si>
    <t>Sobregiro bancario (Nota 13)</t>
  </si>
  <si>
    <t>Cuentas por pagar a corto plazo (Nota 14)</t>
  </si>
  <si>
    <t>Retenciones y acumulaciones por pagar (Nota 15)</t>
  </si>
  <si>
    <t>Otros pasivos corrientes (Nota 16)</t>
  </si>
  <si>
    <t>Resultados positivos (ahorro)/negativo(desahorro)</t>
  </si>
  <si>
    <t>Contable.</t>
  </si>
  <si>
    <t xml:space="preserve">El rubro de Maquinarias y Equipos el balance final al 31-12-2022 fue de RD$5,317,799.29 , se presenta de balance inicial del 2023 RD$6,282,980.68 con una diferencia de RD$965,182.00, corresponde al </t>
  </si>
  <si>
    <t>Corresponde a Lib. No.1188 y 2471 los descuentos de dias no trabajados por valor de RD$19,158.33 y RD$12,000.00 se rebajan en la contabilidad de la cuenta de Sueldos. El SIGEF no comtempla</t>
  </si>
  <si>
    <t>DA IGUAL QUE EN EL SIGEF</t>
  </si>
  <si>
    <t>Se corrige asiento llevado por error a la cuenta corresponde a Lib. 3373-1 Interinato mes de Diciembre del 2023.ED-192,260</t>
  </si>
  <si>
    <t>COMBUSTIBLE:</t>
  </si>
  <si>
    <t>CORRESPONDE A FACTURA No. B1500001798 RD$336,200.00 Y FACTURA No.B1500001892 De RD$599,700.00 NO ESTAN EN SIGEF\</t>
  </si>
  <si>
    <t>UN TOTAL DE RD$28,508.80 LLEVADO A INVENTARIO DE MATERIAL GASTABLE  EN SISTEMA CONTABLE.DIFERENCIA EN REGULARIZACION DE RD$3,412.30</t>
  </si>
  <si>
    <t>ESTA CUADRADA</t>
  </si>
  <si>
    <t xml:space="preserve"> CORRESPONDE A FACTURA DE COLUMBUS No.B1500005064 POR VALOR DE RD$651,690.57</t>
  </si>
  <si>
    <t>Otros Mobiliarios y Equipos de Oficina S.F.M.</t>
  </si>
  <si>
    <t>Arco Detector de Metales Profesional</t>
  </si>
  <si>
    <t>Soldadora Inverter</t>
  </si>
  <si>
    <t xml:space="preserve">valor en RD$ 7,978.49, se lleva a la Cuenta de Pasivo Sobregiro Bancario.Ver Nota No.15 </t>
  </si>
  <si>
    <t xml:space="preserve">Las diferencias del SIGEF de Sueldos de RD$31,158.33, corresponden a los Lib. Nos.:1188-1 y 2471-1 descuentos de </t>
  </si>
  <si>
    <t>dias no trabajados RD$19,158.33 y RD$12,000.00 respectivamente  para un totral de RD$31,158.33</t>
  </si>
  <si>
    <t xml:space="preserve">RELACION DE NOTAS DE CREDITO AL 31 DE DICIEMBRE DEL 2023 PENDIENTES POR USAR </t>
  </si>
  <si>
    <t>No. NOTA DE CREDITO</t>
  </si>
  <si>
    <t>NOMBRE DE CLIENTE</t>
  </si>
  <si>
    <t>VALOR USADO</t>
  </si>
  <si>
    <t>VALOR RD$</t>
  </si>
  <si>
    <t xml:space="preserve">SRA.CAROLINA MEJIA VIÑAS </t>
  </si>
  <si>
    <t>NC-11757</t>
  </si>
  <si>
    <t>EDITORA DEL CARIBE,S.</t>
  </si>
  <si>
    <t>NC-11758</t>
  </si>
  <si>
    <t>NC-11759</t>
  </si>
  <si>
    <t>SRA. GABRIELA VILLANU</t>
  </si>
  <si>
    <t xml:space="preserve">NC-11763 </t>
  </si>
  <si>
    <t>JEANNETTE LAPAIX</t>
  </si>
  <si>
    <t xml:space="preserve">NC-11764 </t>
  </si>
  <si>
    <t>MADIEL RODRIGUEZ</t>
  </si>
  <si>
    <t xml:space="preserve">NC-11765 </t>
  </si>
  <si>
    <t>HEADRICK</t>
  </si>
  <si>
    <t xml:space="preserve">NC-11766 </t>
  </si>
  <si>
    <t>NC-11767</t>
  </si>
  <si>
    <t>NC-11768</t>
  </si>
  <si>
    <t xml:space="preserve">NC-11769 </t>
  </si>
  <si>
    <t xml:space="preserve">NC-11774 </t>
  </si>
  <si>
    <t xml:space="preserve">NC-11780 </t>
  </si>
  <si>
    <t>ROCA</t>
  </si>
  <si>
    <t xml:space="preserve">NC-11784 </t>
  </si>
  <si>
    <t>SRA .SAIDA EL HADDOU</t>
  </si>
  <si>
    <t>NC-11786</t>
  </si>
  <si>
    <t xml:space="preserve"> GCD SYSTEMS, LTD</t>
  </si>
  <si>
    <t>NC-11788</t>
  </si>
  <si>
    <t xml:space="preserve">AGROTECNICA CENTRAL </t>
  </si>
  <si>
    <t>NC-11790</t>
  </si>
  <si>
    <t>SERVICIO NACIONAL DE SALUD</t>
  </si>
  <si>
    <t>NC-11791</t>
  </si>
  <si>
    <t>MINIÑO ABOGADOS Y/O SRA.ORIETTA BLANCO</t>
  </si>
  <si>
    <t>NC-11792</t>
  </si>
  <si>
    <t>NC-11796</t>
  </si>
  <si>
    <t>MINIÑO ABOGADOS Y/O SRA.ORIETTA BLANCO MINIÑO</t>
  </si>
  <si>
    <t>NC-11797</t>
  </si>
  <si>
    <t>NC-11798</t>
  </si>
  <si>
    <t>NC-11799</t>
  </si>
  <si>
    <t>NC-11800</t>
  </si>
  <si>
    <t>NC-11802</t>
  </si>
  <si>
    <t>MINIÑO ABOGADOS SRL</t>
  </si>
  <si>
    <t xml:space="preserve">NC-11804 </t>
  </si>
  <si>
    <t>MINIÑO ABOGADOS , SR</t>
  </si>
  <si>
    <t>NC-11805</t>
  </si>
  <si>
    <t xml:space="preserve">NC-11806 </t>
  </si>
  <si>
    <t xml:space="preserve">NC-11808 </t>
  </si>
  <si>
    <t>YARINA A.SANCHEZ F.</t>
  </si>
  <si>
    <t xml:space="preserve">NC-11809 </t>
  </si>
  <si>
    <t>JORGE MERA &amp;VILLEGAS</t>
  </si>
  <si>
    <t xml:space="preserve">NC-11810 </t>
  </si>
  <si>
    <t>MOTOR CREDITO,S.A.</t>
  </si>
  <si>
    <t>NC-11814</t>
  </si>
  <si>
    <t xml:space="preserve"> FONDAGROY/O ODALIS.P</t>
  </si>
  <si>
    <t xml:space="preserve">NC-11817 </t>
  </si>
  <si>
    <t>SERVICIO NAC DE SALU</t>
  </si>
  <si>
    <t xml:space="preserve">NC-11818 </t>
  </si>
  <si>
    <t>AGROTECNICA CENT.,SR</t>
  </si>
  <si>
    <t xml:space="preserve">NC-11819 </t>
  </si>
  <si>
    <t>ANA YOCASTY SOLIS I.</t>
  </si>
  <si>
    <t>NC-11824</t>
  </si>
  <si>
    <t xml:space="preserve"> AGROTECNICA CENT SRL</t>
  </si>
  <si>
    <t xml:space="preserve">SRA.AWILDA DEYADIRIS PEREZ Y/O GRUPO AGROPECUARIO DON JULIO , S.R.L. </t>
  </si>
  <si>
    <t>SRA.AWILDA DEYADIRIS PEREZ Y/O GRUPO AGROPECUARIO DON JULIO , S.R.L .</t>
  </si>
  <si>
    <t xml:space="preserve">SRA.AWILDA DEYADIRIS MORILLA  PEREZ </t>
  </si>
  <si>
    <t>MINIÑO ABOGADOS , S.R.L .</t>
  </si>
  <si>
    <t xml:space="preserve">SR. MIGUEL ANGEL MARTINEZ ADINO </t>
  </si>
  <si>
    <t>MINIÑO ABOGADOS , S.R.L.</t>
  </si>
  <si>
    <t xml:space="preserve">SR.RAIMUNDO CRUZ ORTIZ Y/O CRUZ ORTIZ ASOCIADOS </t>
  </si>
  <si>
    <t>SRA.JULIANNA CANALS</t>
  </si>
  <si>
    <t>RESPIRARE SRL Y/O SRA ALBA CUELLO</t>
  </si>
  <si>
    <t>SR. GIANCARLOS BLANDINO ABREUY/O INDUSTRIAL MERCANTIL CARIBEÑA,SRL</t>
  </si>
  <si>
    <t>SERVICIO NACIONAL DE SALUD SNS</t>
  </si>
  <si>
    <t>CONSEJO NACIONAL  DE LA PERSONA ENVEJECIENTE</t>
  </si>
  <si>
    <t>GILBERTO ANTONIO MESA JIMENEZ</t>
  </si>
  <si>
    <t xml:space="preserve">LICDA ORIETTA BLANCO Y/O MINIÑO ABOGADOS </t>
  </si>
  <si>
    <t xml:space="preserve">CASTILLO CASTILLO ABOGADOS </t>
  </si>
  <si>
    <t>SR.FRANCISCO ANTONIO SANTIAGO MORILLO</t>
  </si>
  <si>
    <t xml:space="preserve">SR.ALFRY ANTONIO GOMEZ ROSADO </t>
  </si>
  <si>
    <t>SR. ANA PATRICIA OSSERS</t>
  </si>
  <si>
    <t xml:space="preserve">SRA. SAHIANA GUTIERREZ </t>
  </si>
  <si>
    <t xml:space="preserve">SR.WILNER VALCIN </t>
  </si>
  <si>
    <t>SEÑORA ANA VENERANDA AGÜERO</t>
  </si>
  <si>
    <t xml:space="preserve">SRA. ANGELA VALDEZ MEDINA </t>
  </si>
  <si>
    <t>LUGO LOVATON IP, S.R.L.</t>
  </si>
  <si>
    <t xml:space="preserve">CACERES TORRES SRL Y/O LIC. JUAN MANUEL CACERES TORRES </t>
  </si>
  <si>
    <t xml:space="preserve">FUNDACION MINISTERIO CRISTIANO JEHOVA TSIDQUENU </t>
  </si>
  <si>
    <t>AP LEGAL CONSULTING, S.R.L. Y/O ANGELES PONS</t>
  </si>
  <si>
    <t xml:space="preserve">SRA.YULEIMY RODRIGUEZ RAMIREZ </t>
  </si>
  <si>
    <t xml:space="preserve">SUPERMERCADO UREÑA MINIER </t>
  </si>
  <si>
    <t xml:space="preserve">SRA. ALBA PAMELA MARTINEZ </t>
  </si>
  <si>
    <t xml:space="preserve">VALDEZ ALBIZU ABOGADOS </t>
  </si>
  <si>
    <t>PENRAD CORPORATION , SRL</t>
  </si>
  <si>
    <t>SR. NADIR JOSE FADUL</t>
  </si>
  <si>
    <t xml:space="preserve">SR. EDISON MATOS HERNANDEZ </t>
  </si>
  <si>
    <t>SR. RONNY CAMILO</t>
  </si>
  <si>
    <t xml:space="preserve">ISAAC VALENTIN CIRIACO BOBADILLA </t>
  </si>
  <si>
    <t>LABORATORIOS KEY, SRL</t>
  </si>
  <si>
    <t>OFCINAS RIVAS SOLANO , SRL</t>
  </si>
  <si>
    <t xml:space="preserve">SR. TACY AKBAS </t>
  </si>
  <si>
    <t xml:space="preserve">SR.JUAN ROSADO CALCAÑO Y/O ROSADO &amp; ASOCIADOS </t>
  </si>
  <si>
    <t>SR. JOSE ANTONIO MACEO GONZALEZ Y/O SUPER FARMACIA  TONY</t>
  </si>
  <si>
    <t>ANGELES PONS</t>
  </si>
  <si>
    <t xml:space="preserve">SRA. NOEMI BATISTA GERMAN </t>
  </si>
  <si>
    <t xml:space="preserve">VANESSA CABRERA ALMONTE </t>
  </si>
  <si>
    <t>LAWYER IP ABOGADOS Y CONSULTORES .COM</t>
  </si>
  <si>
    <t xml:space="preserve">CLARKEMODET DOMINICANA Y/O CARLOS JOSE BARREDO </t>
  </si>
  <si>
    <t>CLARKEMODET DOMINICANA SRL</t>
  </si>
  <si>
    <t xml:space="preserve">LIC. RAMON OZORIA  FERMIN </t>
  </si>
  <si>
    <t>TOTAL 31/12/2023</t>
  </si>
  <si>
    <t xml:space="preserve">                                                        Encargado Contabilidad </t>
  </si>
  <si>
    <t xml:space="preserve">               Encargado Financiero </t>
  </si>
  <si>
    <t xml:space="preserve">                                                                        Del Ministro y/o Director General</t>
  </si>
  <si>
    <t xml:space="preserve">rubro de Sistema Tratamiento de Agua , el cual se adiciona a Maquinarias y Equipos por sugerencia de la DIGECOG,a partir de los  últimos  Estados Financieros, anteriormente se presentaban en el </t>
  </si>
  <si>
    <t>rubro  de Intangibles.</t>
  </si>
  <si>
    <t>Al 31-12-2023, no existen Bonificaciones e Incentivos,  ni Nóminas  con retenciones de ISR.</t>
  </si>
  <si>
    <t xml:space="preserve">Nota: La Onapi utiliza en su Sistema  Contable el sistema de Inventario de Material Gastable llevando las compras </t>
  </si>
  <si>
    <t>a Inventario (Activos Corrientes), distribuyendo a  Gasto mensualmente el consumo. En el SIGEF se lleva a gasto</t>
  </si>
  <si>
    <t>todas las compras, por tal razón las diferencias en estas cuentas.</t>
  </si>
  <si>
    <t>Camionetas(5)</t>
  </si>
  <si>
    <t>Motores(1)</t>
  </si>
  <si>
    <t>Jeepeta(4) y Minibus(6)</t>
  </si>
  <si>
    <t>Las cantidades de los vehiculos Motores por autorización superior no están incluidos los ya depreciados</t>
  </si>
  <si>
    <t>Las notas son parte integral de los Estados Financieros</t>
  </si>
  <si>
    <t>Nota: La diferencia en los montos con el SIGEF , se debe a la nota explicativa en las Notas del Estado de Resultados</t>
  </si>
  <si>
    <t xml:space="preserve">En la partida de Combustible la diferencia del SIGEF se debe a Factura No. B1500001798 RD$336,200.00 y No.B1500001892 de RD$599,700.00 </t>
  </si>
  <si>
    <t>no están en relación SIGEF,   pero si están registrada en Sistema Contable. RD$28,580.00 llevado a Inventario(Activo Corriente),</t>
  </si>
  <si>
    <t>La Onapi utilza pago via la regularización</t>
  </si>
  <si>
    <t>TRANSACCION ABIERTA RR.HH-2023-0200 AL 31-12-2023</t>
  </si>
  <si>
    <t>TRANSACCION ABIERTA RR.HH-2023-362-A  AL 31-12-2023</t>
  </si>
  <si>
    <t>TRANSACCION ABIERTA RR.HH-2023-362-B AL 31-12-2023</t>
  </si>
  <si>
    <t>TRANSACCION ABIERTA RR.HH-2023-362-C  AL 31-12-2023</t>
  </si>
  <si>
    <t>TOTAL GENERAL</t>
  </si>
  <si>
    <t>COMPENSACION DE COMPRAS AL 31 DE DICIEMBRE  DEL 2023</t>
  </si>
  <si>
    <t>ALFA DIGITAL SIGNS AND GRAPHICS</t>
  </si>
  <si>
    <t>IMPRESIÓN BANNER FULL</t>
  </si>
  <si>
    <t>IMPROFORMAS,S.R.L.</t>
  </si>
  <si>
    <t xml:space="preserve">COMPRA DE 2,000 FOLDERS </t>
  </si>
  <si>
    <t>Nota: el valor de esta cuenta contiene las Facturas de Inventario de Material Gastable que están recepcionadas en Almacén que no</t>
  </si>
  <si>
    <t>han llegado al Area de Cuentas Por Pagar.</t>
  </si>
  <si>
    <t xml:space="preserve"> Encargado Contabilidad </t>
  </si>
  <si>
    <t xml:space="preserve">                                                   Del Ministro y/o Director General</t>
  </si>
  <si>
    <t>En  Otros Pagos incluyen RD$85,000.00 de disminución Fondos de Cajas y Fondo de Menudo.Ver Nota No.07 del Estado de Situación,</t>
  </si>
  <si>
    <t>En Otros Cobros RD$7,978.49 de Sub-Cuentas en moneda extranjera en negativo, llebada a Sobregiro Bancarios.Ver Nota 13 del Estado de Situación.</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</si>
</sst>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D$&quot;#,##0_);\(&quot;RD$&quot;#,##0\)"/>
    <numFmt numFmtId="173" formatCode="&quot;RD$&quot;#,##0_);[Red]\(&quot;RD$&quot;#,##0\)"/>
    <numFmt numFmtId="174" formatCode="&quot;RD$&quot;#,##0.00_);\(&quot;RD$&quot;#,##0.00\)"/>
    <numFmt numFmtId="175" formatCode="&quot;RD$&quot;#,##0.00_);[Red]\(&quot;RD$&quot;#,##0.00\)"/>
    <numFmt numFmtId="176" formatCode="_(&quot;RD$&quot;* #,##0_);_(&quot;RD$&quot;* \(#,##0\);_(&quot;RD$&quot;* &quot;-&quot;_);_(@_)"/>
    <numFmt numFmtId="177" formatCode="_(&quot;RD$&quot;* #,##0.00_);_(&quot;RD$&quot;* \(#,##0.00\);_(&quot;RD$&quot;* &quot;-&quot;??_);_(@_)"/>
    <numFmt numFmtId="178" formatCode="_-* #,##0.00\ _P_t_s_-;\-* #,##0.00\ _P_t_s_-;_-* &quot;-&quot;??\ _P_t_s_-;_-@_-"/>
    <numFmt numFmtId="179" formatCode="#,##0.00\ _€"/>
    <numFmt numFmtId="180" formatCode="#,##0.0_);\(#,##0.0\)"/>
    <numFmt numFmtId="181" formatCode="#,##0.00_ ;\-#,##0.00\ "/>
    <numFmt numFmtId="182" formatCode="#,##0.0000000_ ;\-#,##0.0000000\ "/>
    <numFmt numFmtId="183" formatCode="#,##0.00;[Red]#,##0.00"/>
    <numFmt numFmtId="184" formatCode="#,##0.00000000_ ;\-#,##0.00000000\ "/>
    <numFmt numFmtId="185" formatCode="#,##0.0"/>
    <numFmt numFmtId="186" formatCode="&quot;$&quot;#,##0.00"/>
    <numFmt numFmtId="187" formatCode="#,##0.000_ ;\-#,##0.000\ "/>
    <numFmt numFmtId="188" formatCode="#,##0.000_);\(#,##0.000\)"/>
    <numFmt numFmtId="189" formatCode="#,##0.0000000000_ ;\-#,##0.0000000000\ "/>
    <numFmt numFmtId="190" formatCode="#,##0.00000000000_ ;\-#,##0.00000000000\ "/>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dd/mm/yyyy;@"/>
    <numFmt numFmtId="198" formatCode="mm/dd/yyyy;@"/>
    <numFmt numFmtId="199" formatCode="#,##0.000000000"/>
    <numFmt numFmtId="200" formatCode="#,##0.0000000000"/>
    <numFmt numFmtId="201" formatCode="_(* #,##0.0_);_(* \(#,##0.0\);_(* &quot;-&quot;_);_(@_)"/>
    <numFmt numFmtId="202" formatCode="_(* #,##0.00_);_(* \(#,##0.00\);_(* &quot;-&quot;_);_(@_)"/>
    <numFmt numFmtId="203" formatCode="_(* #,##0.000_);_(* \(#,##0.000\);_(* &quot;-&quot;_);_(@_)"/>
    <numFmt numFmtId="204" formatCode="#,##0.000000000000"/>
    <numFmt numFmtId="205" formatCode="#,##0.0_ ;\-#,##0.0\ "/>
    <numFmt numFmtId="206" formatCode="_(* #,##0.000_);_(* \(#,##0.000\);_(* &quot;-&quot;???_);_(@_)"/>
    <numFmt numFmtId="207" formatCode="_(* #,##0.0000_);_(* \(#,##0.0000\);_(* &quot;-&quot;???_);_(@_)"/>
    <numFmt numFmtId="208" formatCode="_(* #,##0.00_);_(* \(#,##0.00\);_(* &quot;-&quot;???_);_(@_)"/>
    <numFmt numFmtId="209" formatCode="_(* #,##0.0_);_(* \(#,##0.0\);_(* &quot;-&quot;???_);_(@_)"/>
    <numFmt numFmtId="210" formatCode="_(* #,##0_);_(* \(#,##0\);_(* &quot;-&quot;???_);_(@_)"/>
    <numFmt numFmtId="211" formatCode="#,##0.00000000000000"/>
    <numFmt numFmtId="212" formatCode="#,##0.0000000000;[Red]#,##0.0000000000"/>
    <numFmt numFmtId="213" formatCode="#,##0.0000_);\(#,##0.0000\)"/>
    <numFmt numFmtId="214" formatCode="#,##0.00000000_);\(#,##0.00000000\)"/>
    <numFmt numFmtId="215" formatCode="_(* #,##0.0_);_(* \(#,##0.0\);_(* &quot;-&quot;??_);_(@_)"/>
    <numFmt numFmtId="216" formatCode="_(* #,##0_);_(* \(#,##0\);_(* &quot;-&quot;??_);_(@_)"/>
  </numFmts>
  <fonts count="164">
    <font>
      <sz val="11"/>
      <color theme="1"/>
      <name val="Calibri"/>
      <family val="2"/>
    </font>
    <font>
      <sz val="11"/>
      <color indexed="8"/>
      <name val="Calibri"/>
      <family val="2"/>
    </font>
    <font>
      <sz val="10"/>
      <name val="Arial"/>
      <family val="2"/>
    </font>
    <font>
      <sz val="9"/>
      <name val="Arial"/>
      <family val="2"/>
    </font>
    <font>
      <b/>
      <u val="single"/>
      <sz val="9"/>
      <name val="Times New Roman"/>
      <family val="1"/>
    </font>
    <font>
      <b/>
      <sz val="10"/>
      <name val="Arial"/>
      <family val="2"/>
    </font>
    <font>
      <sz val="10"/>
      <name val="Book Antiqua"/>
      <family val="1"/>
    </font>
    <font>
      <b/>
      <sz val="14"/>
      <name val="Book Antiqua"/>
      <family val="1"/>
    </font>
    <font>
      <b/>
      <sz val="10"/>
      <name val="Book Antiqua"/>
      <family val="1"/>
    </font>
    <font>
      <b/>
      <sz val="11"/>
      <name val="Book Antiqua"/>
      <family val="1"/>
    </font>
    <font>
      <b/>
      <sz val="12"/>
      <name val="Arial"/>
      <family val="2"/>
    </font>
    <font>
      <b/>
      <sz val="20"/>
      <name val="Book Antiqua"/>
      <family val="1"/>
    </font>
    <font>
      <b/>
      <sz val="12"/>
      <name val="Book Antiqua"/>
      <family val="1"/>
    </font>
    <font>
      <sz val="12"/>
      <name val="Book Antiqua"/>
      <family val="1"/>
    </font>
    <font>
      <sz val="14"/>
      <name val="Book Antiqua"/>
      <family val="1"/>
    </font>
    <font>
      <sz val="20"/>
      <name val="Arial"/>
      <family val="2"/>
    </font>
    <font>
      <b/>
      <sz val="9"/>
      <name val="Book Antiqua"/>
      <family val="1"/>
    </font>
    <font>
      <sz val="9"/>
      <name val="Book Antiqua"/>
      <family val="1"/>
    </font>
    <font>
      <b/>
      <sz val="14"/>
      <name val="Times New Roman"/>
      <family val="1"/>
    </font>
    <font>
      <b/>
      <sz val="9"/>
      <name val="Tahoma"/>
      <family val="2"/>
    </font>
    <font>
      <sz val="12"/>
      <color indexed="10"/>
      <name val="Book Antiqua"/>
      <family val="1"/>
    </font>
    <font>
      <sz val="12"/>
      <name val="Arial"/>
      <family val="2"/>
    </font>
    <font>
      <sz val="14"/>
      <name val="Times New Roman"/>
      <family val="1"/>
    </font>
    <font>
      <b/>
      <sz val="12"/>
      <name val="Times New Roman"/>
      <family val="1"/>
    </font>
    <font>
      <sz val="11"/>
      <name val="Calibri"/>
      <family val="2"/>
    </font>
    <font>
      <b/>
      <i/>
      <sz val="10"/>
      <name val="Book Antiqua"/>
      <family val="1"/>
    </font>
    <font>
      <b/>
      <i/>
      <sz val="10"/>
      <name val="Arial"/>
      <family val="2"/>
    </font>
    <font>
      <b/>
      <sz val="16"/>
      <name val="Book Antiqua"/>
      <family val="1"/>
    </font>
    <font>
      <b/>
      <sz val="11"/>
      <color indexed="8"/>
      <name val="Times New Roman"/>
      <family val="1"/>
    </font>
    <font>
      <b/>
      <sz val="11"/>
      <name val="Times New Roman"/>
      <family val="1"/>
    </font>
    <font>
      <sz val="11"/>
      <name val="Times New Roman"/>
      <family val="1"/>
    </font>
    <font>
      <b/>
      <u val="single"/>
      <sz val="11"/>
      <name val="Times New Roman"/>
      <family val="1"/>
    </font>
    <font>
      <u val="single"/>
      <sz val="11"/>
      <name val="Times New Roman"/>
      <family val="1"/>
    </font>
    <font>
      <sz val="9"/>
      <name val="Tahoma"/>
      <family val="2"/>
    </font>
    <font>
      <sz val="11"/>
      <color indexed="10"/>
      <name val="Times New Roman"/>
      <family val="1"/>
    </font>
    <font>
      <b/>
      <sz val="12"/>
      <color indexed="63"/>
      <name val="Times New Roman"/>
      <family val="1"/>
    </font>
    <font>
      <sz val="12"/>
      <color indexed="9"/>
      <name val="Book Antiqua"/>
      <family val="1"/>
    </font>
    <font>
      <sz val="12"/>
      <name val="Times New Roman"/>
      <family val="1"/>
    </font>
    <font>
      <b/>
      <sz val="9"/>
      <name val="Times New Roman"/>
      <family val="1"/>
    </font>
    <font>
      <b/>
      <sz val="10"/>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Book Antiqua"/>
      <family val="1"/>
    </font>
    <font>
      <sz val="10"/>
      <color indexed="8"/>
      <name val="Book Antiqua"/>
      <family val="1"/>
    </font>
    <font>
      <sz val="12"/>
      <color indexed="8"/>
      <name val="Book Antiqua"/>
      <family val="1"/>
    </font>
    <font>
      <sz val="11"/>
      <color indexed="12"/>
      <name val="Calibri"/>
      <family val="2"/>
    </font>
    <font>
      <sz val="12"/>
      <color indexed="8"/>
      <name val="Calibri"/>
      <family val="2"/>
    </font>
    <font>
      <sz val="12"/>
      <color indexed="9"/>
      <name val="Calibri"/>
      <family val="2"/>
    </font>
    <font>
      <b/>
      <sz val="12"/>
      <color indexed="8"/>
      <name val="Book Antiqua"/>
      <family val="1"/>
    </font>
    <font>
      <b/>
      <sz val="12"/>
      <color indexed="9"/>
      <name val="Book Antiqua"/>
      <family val="1"/>
    </font>
    <font>
      <b/>
      <sz val="14"/>
      <color indexed="8"/>
      <name val="Calibri"/>
      <family val="2"/>
    </font>
    <font>
      <sz val="14"/>
      <color indexed="8"/>
      <name val="Calibri"/>
      <family val="2"/>
    </font>
    <font>
      <b/>
      <sz val="12"/>
      <color indexed="8"/>
      <name val="Calibri"/>
      <family val="2"/>
    </font>
    <font>
      <b/>
      <sz val="11"/>
      <name val="Calibri"/>
      <family val="2"/>
    </font>
    <font>
      <sz val="10"/>
      <color indexed="9"/>
      <name val="Arial"/>
      <family val="2"/>
    </font>
    <font>
      <sz val="10"/>
      <color indexed="26"/>
      <name val="Arial"/>
      <family val="2"/>
    </font>
    <font>
      <sz val="11"/>
      <color indexed="8"/>
      <name val="Times New Roman"/>
      <family val="1"/>
    </font>
    <font>
      <u val="single"/>
      <sz val="11"/>
      <color indexed="8"/>
      <name val="Times New Roman"/>
      <family val="1"/>
    </font>
    <font>
      <sz val="14"/>
      <color indexed="9"/>
      <name val="Times New Roman"/>
      <family val="1"/>
    </font>
    <font>
      <b/>
      <sz val="14"/>
      <color indexed="9"/>
      <name val="Book Antiqua"/>
      <family val="1"/>
    </font>
    <font>
      <sz val="10"/>
      <color indexed="9"/>
      <name val="Book Antiqua"/>
      <family val="1"/>
    </font>
    <font>
      <b/>
      <sz val="12"/>
      <color indexed="9"/>
      <name val="Calibri"/>
      <family val="2"/>
    </font>
    <font>
      <sz val="14"/>
      <color indexed="9"/>
      <name val="Calibri"/>
      <family val="2"/>
    </font>
    <font>
      <sz val="14"/>
      <color indexed="9"/>
      <name val="Book Antiqua"/>
      <family val="1"/>
    </font>
    <font>
      <b/>
      <sz val="10"/>
      <color indexed="9"/>
      <name val="Book Antiqua"/>
      <family val="1"/>
    </font>
    <font>
      <sz val="11"/>
      <color indexed="60"/>
      <name val="Times New Roman"/>
      <family val="1"/>
    </font>
    <font>
      <b/>
      <sz val="6"/>
      <color indexed="8"/>
      <name val="Times New Roman"/>
      <family val="1"/>
    </font>
    <font>
      <b/>
      <u val="single"/>
      <sz val="11"/>
      <color indexed="8"/>
      <name val="Times New Roman"/>
      <family val="1"/>
    </font>
    <font>
      <b/>
      <u val="double"/>
      <sz val="11"/>
      <color indexed="8"/>
      <name val="Times New Roman"/>
      <family val="1"/>
    </font>
    <font>
      <b/>
      <sz val="12"/>
      <color indexed="8"/>
      <name val="Times New Roman"/>
      <family val="1"/>
    </font>
    <font>
      <b/>
      <i/>
      <sz val="11"/>
      <color indexed="8"/>
      <name val="Calibri"/>
      <family val="2"/>
    </font>
    <font>
      <sz val="11"/>
      <color indexed="8"/>
      <name val="Book Antiqua"/>
      <family val="1"/>
    </font>
    <font>
      <sz val="13"/>
      <color indexed="8"/>
      <name val="Times New Roman"/>
      <family val="1"/>
    </font>
    <font>
      <b/>
      <i/>
      <sz val="11"/>
      <color indexed="8"/>
      <name val="Book Antiqua"/>
      <family val="1"/>
    </font>
    <font>
      <sz val="12"/>
      <name val="Calibri"/>
      <family val="2"/>
    </font>
    <font>
      <sz val="11"/>
      <color indexed="9"/>
      <name val="Times New Roman"/>
      <family val="1"/>
    </font>
    <font>
      <b/>
      <sz val="11"/>
      <color indexed="10"/>
      <name val="Calibri"/>
      <family val="2"/>
    </font>
    <font>
      <sz val="14"/>
      <color indexed="8"/>
      <name val="Book Antiqua"/>
      <family val="1"/>
    </font>
    <font>
      <sz val="9"/>
      <color indexed="8"/>
      <name val="Calibri"/>
      <family val="2"/>
    </font>
    <font>
      <b/>
      <sz val="11"/>
      <color indexed="10"/>
      <name val="Book Antiqua"/>
      <family val="1"/>
    </font>
    <font>
      <sz val="14"/>
      <color indexed="10"/>
      <name val="Book Antiqua"/>
      <family val="1"/>
    </font>
    <font>
      <sz val="10"/>
      <color indexed="10"/>
      <name val="Book Antiqua"/>
      <family val="1"/>
    </font>
    <font>
      <b/>
      <sz val="11"/>
      <color indexed="63"/>
      <name val="Times New Roman"/>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Book Antiqua"/>
      <family val="1"/>
    </font>
    <font>
      <sz val="10"/>
      <color theme="1"/>
      <name val="Book Antiqua"/>
      <family val="1"/>
    </font>
    <font>
      <sz val="12"/>
      <color theme="1"/>
      <name val="Book Antiqua"/>
      <family val="1"/>
    </font>
    <font>
      <sz val="11"/>
      <color theme="10"/>
      <name val="Calibri"/>
      <family val="2"/>
    </font>
    <font>
      <sz val="12"/>
      <color theme="1"/>
      <name val="Calibri"/>
      <family val="2"/>
    </font>
    <font>
      <sz val="12"/>
      <color theme="0"/>
      <name val="Book Antiqua"/>
      <family val="1"/>
    </font>
    <font>
      <sz val="12"/>
      <color theme="0"/>
      <name val="Calibri"/>
      <family val="2"/>
    </font>
    <font>
      <b/>
      <sz val="12"/>
      <color theme="1"/>
      <name val="Book Antiqua"/>
      <family val="1"/>
    </font>
    <font>
      <b/>
      <sz val="12"/>
      <color theme="0"/>
      <name val="Book Antiqua"/>
      <family val="1"/>
    </font>
    <font>
      <b/>
      <sz val="14"/>
      <color theme="1"/>
      <name val="Calibri"/>
      <family val="2"/>
    </font>
    <font>
      <sz val="14"/>
      <color theme="1"/>
      <name val="Calibri"/>
      <family val="2"/>
    </font>
    <font>
      <sz val="12"/>
      <color rgb="FFFF0000"/>
      <name val="Book Antiqua"/>
      <family val="1"/>
    </font>
    <font>
      <b/>
      <sz val="12"/>
      <color theme="1"/>
      <name val="Calibri"/>
      <family val="2"/>
    </font>
    <font>
      <sz val="10"/>
      <color theme="0"/>
      <name val="Arial"/>
      <family val="2"/>
    </font>
    <font>
      <sz val="10"/>
      <color theme="2"/>
      <name val="Arial"/>
      <family val="2"/>
    </font>
    <font>
      <sz val="11"/>
      <color theme="1"/>
      <name val="Times New Roman"/>
      <family val="1"/>
    </font>
    <font>
      <b/>
      <sz val="11"/>
      <color theme="1"/>
      <name val="Times New Roman"/>
      <family val="1"/>
    </font>
    <font>
      <sz val="11"/>
      <color rgb="FFFF0000"/>
      <name val="Times New Roman"/>
      <family val="1"/>
    </font>
    <font>
      <u val="single"/>
      <sz val="11"/>
      <color theme="1"/>
      <name val="Times New Roman"/>
      <family val="1"/>
    </font>
    <font>
      <sz val="14"/>
      <color theme="0"/>
      <name val="Times New Roman"/>
      <family val="1"/>
    </font>
    <font>
      <b/>
      <sz val="14"/>
      <color theme="0"/>
      <name val="Book Antiqua"/>
      <family val="1"/>
    </font>
    <font>
      <sz val="10"/>
      <color theme="0"/>
      <name val="Book Antiqua"/>
      <family val="1"/>
    </font>
    <font>
      <b/>
      <sz val="12"/>
      <color theme="0"/>
      <name val="Calibri"/>
      <family val="2"/>
    </font>
    <font>
      <sz val="14"/>
      <color theme="0"/>
      <name val="Calibri"/>
      <family val="2"/>
    </font>
    <font>
      <sz val="14"/>
      <color theme="0"/>
      <name val="Book Antiqua"/>
      <family val="1"/>
    </font>
    <font>
      <b/>
      <sz val="10"/>
      <color theme="0"/>
      <name val="Book Antiqua"/>
      <family val="1"/>
    </font>
    <font>
      <sz val="11"/>
      <color rgb="FFC00000"/>
      <name val="Times New Roman"/>
      <family val="1"/>
    </font>
    <font>
      <b/>
      <sz val="6"/>
      <color theme="1"/>
      <name val="Times New Roman"/>
      <family val="1"/>
    </font>
    <font>
      <b/>
      <u val="single"/>
      <sz val="11"/>
      <color theme="1"/>
      <name val="Times New Roman"/>
      <family val="1"/>
    </font>
    <font>
      <b/>
      <u val="double"/>
      <sz val="11"/>
      <color theme="1"/>
      <name val="Times New Roman"/>
      <family val="1"/>
    </font>
    <font>
      <b/>
      <sz val="12"/>
      <color theme="1"/>
      <name val="Times New Roman"/>
      <family val="1"/>
    </font>
    <font>
      <sz val="11"/>
      <color rgb="FF000000"/>
      <name val="Times New Roman"/>
      <family val="2"/>
    </font>
    <font>
      <b/>
      <i/>
      <sz val="11"/>
      <color theme="1"/>
      <name val="Calibri"/>
      <family val="2"/>
    </font>
    <font>
      <sz val="11"/>
      <color theme="1"/>
      <name val="Book Antiqua"/>
      <family val="1"/>
    </font>
    <font>
      <sz val="13"/>
      <color theme="1"/>
      <name val="Times New Roman"/>
      <family val="1"/>
    </font>
    <font>
      <b/>
      <i/>
      <sz val="11"/>
      <color theme="1"/>
      <name val="Book Antiqua"/>
      <family val="1"/>
    </font>
    <font>
      <sz val="11"/>
      <color theme="0"/>
      <name val="Times New Roman"/>
      <family val="1"/>
    </font>
    <font>
      <b/>
      <sz val="11"/>
      <color rgb="FFFF0000"/>
      <name val="Calibri"/>
      <family val="2"/>
    </font>
    <font>
      <sz val="14"/>
      <color theme="1"/>
      <name val="Book Antiqua"/>
      <family val="1"/>
    </font>
    <font>
      <b/>
      <sz val="12"/>
      <color rgb="FF000000"/>
      <name val="Times New Roman"/>
      <family val="1"/>
    </font>
    <font>
      <sz val="9"/>
      <color theme="1"/>
      <name val="Calibri"/>
      <family val="2"/>
    </font>
    <font>
      <b/>
      <sz val="11"/>
      <color rgb="FF000000"/>
      <name val="Times New Roman"/>
      <family val="2"/>
    </font>
    <font>
      <b/>
      <sz val="11"/>
      <color rgb="FFFF0000"/>
      <name val="Book Antiqua"/>
      <family val="1"/>
    </font>
    <font>
      <sz val="14"/>
      <color rgb="FFFF0000"/>
      <name val="Book Antiqua"/>
      <family val="1"/>
    </font>
    <font>
      <sz val="10"/>
      <color rgb="FFFF0000"/>
      <name val="Book Antiqua"/>
      <family val="1"/>
    </font>
    <font>
      <b/>
      <sz val="11"/>
      <color rgb="FF231F2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double"/>
    </border>
    <border>
      <left/>
      <right/>
      <top/>
      <bottom style="double"/>
    </border>
    <border>
      <left/>
      <right/>
      <top style="thin"/>
      <bottom style="medium"/>
    </border>
    <border>
      <left/>
      <right/>
      <top/>
      <bottom style="thin"/>
    </border>
    <border>
      <left style="medium"/>
      <right/>
      <top style="medium"/>
      <bottom style="medium"/>
    </border>
    <border>
      <left/>
      <right/>
      <top style="medium"/>
      <bottom style="medium"/>
    </border>
    <border>
      <left/>
      <right/>
      <top/>
      <bottom style="medium"/>
    </border>
    <border>
      <left/>
      <right/>
      <top style="medium"/>
      <bottom style="double"/>
    </border>
    <border>
      <left/>
      <right/>
      <top style="double"/>
      <bottom style="thin"/>
    </border>
    <border>
      <left/>
      <right/>
      <top style="thin"/>
      <bottom/>
    </border>
    <border>
      <left/>
      <right/>
      <top style="double"/>
      <bottom style="medium"/>
    </border>
    <border>
      <left/>
      <right/>
      <top style="medium"/>
      <bottom/>
    </border>
    <border>
      <left/>
      <right style="medium"/>
      <top style="medium"/>
      <bottom style="medium"/>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right/>
      <top style="double"/>
      <bottom/>
    </border>
    <border>
      <left style="medium"/>
      <right/>
      <top style="medium"/>
      <bottom/>
    </border>
    <border>
      <left style="medium"/>
      <right/>
      <top/>
      <bottom/>
    </border>
    <border>
      <left style="medium"/>
      <right/>
      <top>
        <color indexed="63"/>
      </top>
      <bottom style="medium"/>
    </border>
    <border>
      <left/>
      <right style="medium"/>
      <top style="medium"/>
      <bottom/>
    </border>
    <border>
      <left/>
      <right style="medium"/>
      <top/>
      <bottom/>
    </border>
    <border>
      <left/>
      <right style="medium"/>
      <top/>
      <bottom style="thin"/>
    </border>
    <border>
      <left/>
      <right style="medium"/>
      <top>
        <color indexed="63"/>
      </top>
      <bottom style="medium"/>
    </border>
    <border>
      <left style="thin"/>
      <right style="thin"/>
      <top/>
      <bottom style="thin"/>
    </border>
    <border>
      <left style="medium"/>
      <right style="medium"/>
      <top style="medium"/>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0" fillId="20" borderId="0" applyNumberFormat="0" applyBorder="0" applyAlignment="0" applyProtection="0"/>
    <xf numFmtId="0" fontId="101" fillId="21" borderId="1" applyNumberFormat="0" applyAlignment="0" applyProtection="0"/>
    <xf numFmtId="0" fontId="102" fillId="22" borderId="2" applyNumberFormat="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0" applyNumberFormat="0" applyFill="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6" borderId="0" applyNumberFormat="0" applyBorder="0" applyAlignment="0" applyProtection="0"/>
    <xf numFmtId="0" fontId="99" fillId="27" borderId="0" applyNumberFormat="0" applyBorder="0" applyAlignment="0" applyProtection="0"/>
    <xf numFmtId="0" fontId="99" fillId="28" borderId="0" applyNumberFormat="0" applyBorder="0" applyAlignment="0" applyProtection="0"/>
    <xf numFmtId="0" fontId="106" fillId="29" borderId="1"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0" applyNumberFormat="0" applyBorder="0" applyAlignment="0" applyProtection="0"/>
    <xf numFmtId="0" fontId="1" fillId="0" borderId="0" applyFont="0" applyFill="0" applyBorder="0" applyAlignment="0" applyProtection="0"/>
    <xf numFmtId="41" fontId="0" fillId="0" borderId="0" applyFont="0" applyFill="0" applyBorder="0" applyAlignment="0" applyProtection="0"/>
    <xf numFmtId="178" fontId="2" fillId="0" borderId="0" applyFont="0" applyFill="0" applyBorder="0" applyAlignment="0" applyProtection="0"/>
    <xf numFmtId="0"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0"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0" fillId="0" borderId="0" applyFont="0" applyFill="0" applyBorder="0" applyAlignment="0" applyProtection="0"/>
    <xf numFmtId="0" fontId="111" fillId="21" borderId="6" applyNumberFormat="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5" fillId="0" borderId="7" applyNumberFormat="0" applyFill="0" applyAlignment="0" applyProtection="0"/>
    <xf numFmtId="0" fontId="105" fillId="0" borderId="8" applyNumberFormat="0" applyFill="0" applyAlignment="0" applyProtection="0"/>
    <xf numFmtId="0" fontId="116" fillId="0" borderId="9" applyNumberFormat="0" applyFill="0" applyAlignment="0" applyProtection="0"/>
  </cellStyleXfs>
  <cellXfs count="829">
    <xf numFmtId="0" fontId="0" fillId="0" borderId="0" xfId="0" applyFont="1" applyAlignment="1">
      <alignment/>
    </xf>
    <xf numFmtId="178" fontId="2" fillId="0" borderId="0" xfId="51" applyFont="1" applyAlignment="1">
      <alignment/>
    </xf>
    <xf numFmtId="0" fontId="3" fillId="0" borderId="0" xfId="57" applyFont="1">
      <alignment/>
      <protection/>
    </xf>
    <xf numFmtId="0" fontId="0" fillId="0" borderId="0" xfId="0" applyFill="1" applyAlignment="1">
      <alignment/>
    </xf>
    <xf numFmtId="0" fontId="0" fillId="0" borderId="0" xfId="0" applyAlignment="1">
      <alignment/>
    </xf>
    <xf numFmtId="0" fontId="6" fillId="0" borderId="0" xfId="0" applyFont="1" applyAlignment="1">
      <alignment/>
    </xf>
    <xf numFmtId="0" fontId="6" fillId="0" borderId="0" xfId="49" applyFont="1" applyFill="1" applyAlignment="1">
      <alignment/>
    </xf>
    <xf numFmtId="0" fontId="9" fillId="0" borderId="10" xfId="49" applyFont="1" applyFill="1" applyBorder="1" applyAlignment="1">
      <alignment/>
    </xf>
    <xf numFmtId="0" fontId="0" fillId="0" borderId="0" xfId="0" applyBorder="1" applyAlignment="1">
      <alignment/>
    </xf>
    <xf numFmtId="0" fontId="13" fillId="0" borderId="0" xfId="0" applyFont="1" applyAlignment="1">
      <alignment/>
    </xf>
    <xf numFmtId="0" fontId="8" fillId="0" borderId="0" xfId="49" applyFont="1" applyFill="1" applyAlignment="1">
      <alignment/>
    </xf>
    <xf numFmtId="0" fontId="6" fillId="0" borderId="0" xfId="49" applyFont="1" applyFill="1" applyBorder="1" applyAlignment="1">
      <alignment/>
    </xf>
    <xf numFmtId="0" fontId="6" fillId="0" borderId="0" xfId="0" applyFont="1" applyFill="1" applyAlignment="1">
      <alignment/>
    </xf>
    <xf numFmtId="39" fontId="0" fillId="0" borderId="0" xfId="0" applyNumberFormat="1" applyBorder="1" applyAlignment="1">
      <alignment/>
    </xf>
    <xf numFmtId="39" fontId="5" fillId="0" borderId="11" xfId="0" applyNumberFormat="1" applyFont="1" applyFill="1" applyBorder="1" applyAlignment="1">
      <alignment/>
    </xf>
    <xf numFmtId="179" fontId="5" fillId="0" borderId="10" xfId="0" applyNumberFormat="1" applyFont="1" applyFill="1" applyBorder="1" applyAlignment="1">
      <alignment/>
    </xf>
    <xf numFmtId="39" fontId="6" fillId="0" borderId="0" xfId="0" applyNumberFormat="1" applyFont="1" applyFill="1" applyAlignment="1">
      <alignment/>
    </xf>
    <xf numFmtId="39" fontId="0" fillId="0" borderId="0" xfId="0" applyNumberFormat="1" applyAlignment="1">
      <alignment/>
    </xf>
    <xf numFmtId="0" fontId="8" fillId="0" borderId="10" xfId="49" applyFont="1" applyFill="1" applyBorder="1" applyAlignment="1">
      <alignment/>
    </xf>
    <xf numFmtId="0" fontId="9" fillId="0" borderId="0" xfId="49" applyFont="1" applyFill="1" applyBorder="1" applyAlignment="1">
      <alignment/>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0" fontId="6" fillId="0" borderId="0" xfId="49" applyFont="1" applyFill="1" applyAlignment="1">
      <alignment horizontal="center"/>
    </xf>
    <xf numFmtId="0" fontId="6" fillId="0" borderId="0" xfId="49" applyFont="1" applyFill="1" applyAlignment="1">
      <alignment/>
    </xf>
    <xf numFmtId="0" fontId="8" fillId="0" borderId="0" xfId="0" applyFont="1" applyFill="1" applyAlignment="1">
      <alignment/>
    </xf>
    <xf numFmtId="0" fontId="8" fillId="0" borderId="12" xfId="49" applyFont="1" applyFill="1" applyBorder="1" applyAlignment="1">
      <alignment horizontal="center"/>
    </xf>
    <xf numFmtId="0" fontId="8" fillId="0" borderId="12" xfId="49" applyFont="1" applyFill="1" applyBorder="1" applyAlignment="1">
      <alignment/>
    </xf>
    <xf numFmtId="0" fontId="8" fillId="0" borderId="0" xfId="49" applyFont="1" applyFill="1" applyBorder="1" applyAlignment="1">
      <alignment/>
    </xf>
    <xf numFmtId="0" fontId="116" fillId="0" borderId="0" xfId="0" applyFont="1" applyAlignment="1">
      <alignment/>
    </xf>
    <xf numFmtId="4" fontId="6" fillId="0" borderId="0" xfId="49" applyNumberFormat="1" applyFont="1" applyFill="1" applyAlignment="1">
      <alignment/>
    </xf>
    <xf numFmtId="0" fontId="6" fillId="0" borderId="0" xfId="56" applyFont="1">
      <alignment/>
      <protection/>
    </xf>
    <xf numFmtId="0" fontId="7" fillId="0" borderId="0" xfId="56" applyFont="1" applyAlignment="1">
      <alignment horizontal="center"/>
      <protection/>
    </xf>
    <xf numFmtId="0" fontId="8" fillId="0" borderId="0" xfId="56" applyFont="1">
      <alignment/>
      <protection/>
    </xf>
    <xf numFmtId="0" fontId="7" fillId="0" borderId="0" xfId="56" applyFont="1">
      <alignment/>
      <protection/>
    </xf>
    <xf numFmtId="39" fontId="0" fillId="0" borderId="13" xfId="0" applyNumberFormat="1" applyBorder="1" applyAlignment="1">
      <alignment/>
    </xf>
    <xf numFmtId="178" fontId="9" fillId="0" borderId="10" xfId="51" applyFont="1" applyBorder="1" applyAlignment="1">
      <alignment/>
    </xf>
    <xf numFmtId="0" fontId="0" fillId="0" borderId="0" xfId="56">
      <alignment/>
      <protection/>
    </xf>
    <xf numFmtId="178" fontId="9" fillId="0" borderId="10" xfId="51" applyFont="1" applyFill="1" applyBorder="1" applyAlignment="1">
      <alignment/>
    </xf>
    <xf numFmtId="0" fontId="9" fillId="0" borderId="10" xfId="56" applyFont="1" applyBorder="1">
      <alignment/>
      <protection/>
    </xf>
    <xf numFmtId="0" fontId="10" fillId="0" borderId="14" xfId="56" applyFont="1" applyBorder="1">
      <alignment/>
      <protection/>
    </xf>
    <xf numFmtId="0" fontId="10" fillId="0" borderId="15" xfId="56" applyFont="1" applyBorder="1">
      <alignment/>
      <protection/>
    </xf>
    <xf numFmtId="39" fontId="117" fillId="0" borderId="11" xfId="0" applyNumberFormat="1" applyFont="1" applyBorder="1" applyAlignment="1">
      <alignment/>
    </xf>
    <xf numFmtId="0" fontId="7" fillId="0" borderId="0" xfId="56" applyFont="1" applyAlignment="1">
      <alignment/>
      <protection/>
    </xf>
    <xf numFmtId="0" fontId="7" fillId="0" borderId="10" xfId="49" applyFont="1" applyFill="1" applyBorder="1" applyAlignment="1">
      <alignment/>
    </xf>
    <xf numFmtId="178" fontId="9" fillId="0" borderId="10" xfId="51" applyFont="1" applyBorder="1" applyAlignment="1">
      <alignment horizontal="right"/>
    </xf>
    <xf numFmtId="0" fontId="9" fillId="0" borderId="0" xfId="56" applyFont="1">
      <alignment/>
      <protection/>
    </xf>
    <xf numFmtId="39" fontId="117" fillId="0" borderId="10" xfId="0" applyNumberFormat="1" applyFont="1" applyBorder="1" applyAlignment="1">
      <alignment/>
    </xf>
    <xf numFmtId="39" fontId="118" fillId="0" borderId="0" xfId="0" applyNumberFormat="1" applyFont="1" applyFill="1" applyAlignment="1">
      <alignment/>
    </xf>
    <xf numFmtId="17" fontId="116" fillId="0" borderId="0" xfId="0" applyNumberFormat="1" applyFont="1" applyAlignment="1">
      <alignment horizontal="left"/>
    </xf>
    <xf numFmtId="39" fontId="24" fillId="0" borderId="0" xfId="0" applyNumberFormat="1" applyFont="1" applyAlignment="1">
      <alignment/>
    </xf>
    <xf numFmtId="39"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xf>
    <xf numFmtId="39" fontId="0" fillId="0" borderId="0" xfId="0" applyNumberFormat="1" applyFill="1" applyBorder="1" applyAlignment="1">
      <alignment/>
    </xf>
    <xf numFmtId="0" fontId="0" fillId="0" borderId="16" xfId="0" applyFill="1" applyBorder="1" applyAlignment="1">
      <alignment/>
    </xf>
    <xf numFmtId="178" fontId="9" fillId="0" borderId="10" xfId="51" applyFont="1" applyFill="1" applyBorder="1" applyAlignment="1">
      <alignment horizontal="right"/>
    </xf>
    <xf numFmtId="0" fontId="7" fillId="0" borderId="0" xfId="56" applyFont="1" applyAlignment="1">
      <alignment horizontal="right"/>
      <protection/>
    </xf>
    <xf numFmtId="0" fontId="7" fillId="0" borderId="13" xfId="56" applyFont="1" applyBorder="1" applyAlignment="1">
      <alignment horizontal="center"/>
      <protection/>
    </xf>
    <xf numFmtId="0" fontId="0" fillId="0" borderId="13" xfId="0" applyBorder="1" applyAlignment="1">
      <alignment/>
    </xf>
    <xf numFmtId="0" fontId="13" fillId="0" borderId="0" xfId="0" applyFont="1" applyFill="1" applyAlignment="1">
      <alignment/>
    </xf>
    <xf numFmtId="0" fontId="13" fillId="0" borderId="0" xfId="49" applyFont="1" applyFill="1" applyAlignment="1">
      <alignment/>
    </xf>
    <xf numFmtId="0" fontId="13" fillId="0" borderId="0" xfId="49" applyFont="1" applyFill="1" applyBorder="1" applyAlignment="1">
      <alignment/>
    </xf>
    <xf numFmtId="0" fontId="13" fillId="0" borderId="16" xfId="49" applyFont="1" applyFill="1" applyBorder="1" applyAlignment="1">
      <alignment/>
    </xf>
    <xf numFmtId="0" fontId="13" fillId="0" borderId="13" xfId="49" applyFont="1" applyFill="1" applyBorder="1" applyAlignment="1">
      <alignment/>
    </xf>
    <xf numFmtId="39" fontId="13" fillId="0" borderId="0" xfId="49" applyNumberFormat="1" applyFont="1" applyFill="1" applyAlignment="1">
      <alignment/>
    </xf>
    <xf numFmtId="0" fontId="12" fillId="0" borderId="10" xfId="49" applyFont="1" applyFill="1" applyBorder="1" applyAlignment="1">
      <alignment/>
    </xf>
    <xf numFmtId="39" fontId="13" fillId="0" borderId="0" xfId="0" applyNumberFormat="1" applyFont="1" applyFill="1" applyAlignment="1">
      <alignment/>
    </xf>
    <xf numFmtId="39" fontId="13" fillId="0" borderId="16" xfId="0" applyNumberFormat="1" applyFont="1" applyFill="1" applyBorder="1" applyAlignment="1">
      <alignment/>
    </xf>
    <xf numFmtId="0" fontId="12" fillId="0" borderId="0" xfId="49" applyFont="1" applyFill="1" applyAlignment="1">
      <alignment/>
    </xf>
    <xf numFmtId="0" fontId="119" fillId="0" borderId="16" xfId="49" applyFont="1" applyFill="1" applyBorder="1" applyAlignment="1">
      <alignment/>
    </xf>
    <xf numFmtId="0" fontId="12" fillId="0" borderId="17" xfId="0" applyFont="1" applyFill="1" applyBorder="1" applyAlignment="1">
      <alignment/>
    </xf>
    <xf numFmtId="0" fontId="12" fillId="0" borderId="0" xfId="0" applyFont="1" applyFill="1" applyAlignment="1">
      <alignment/>
    </xf>
    <xf numFmtId="0" fontId="12" fillId="0" borderId="0" xfId="49" applyFont="1" applyFill="1" applyBorder="1" applyAlignment="1">
      <alignment/>
    </xf>
    <xf numFmtId="0" fontId="12" fillId="0" borderId="16" xfId="49" applyFont="1" applyFill="1" applyBorder="1" applyAlignment="1">
      <alignment/>
    </xf>
    <xf numFmtId="39" fontId="119" fillId="0" borderId="0" xfId="0" applyNumberFormat="1" applyFont="1" applyFill="1" applyAlignment="1">
      <alignment/>
    </xf>
    <xf numFmtId="0" fontId="119" fillId="0" borderId="0" xfId="49" applyFont="1" applyFill="1" applyAlignment="1">
      <alignment/>
    </xf>
    <xf numFmtId="0" fontId="22" fillId="0" borderId="0" xfId="57" applyFont="1" applyAlignment="1">
      <alignment horizontal="left"/>
      <protection/>
    </xf>
    <xf numFmtId="39" fontId="24" fillId="0" borderId="0" xfId="56" applyNumberFormat="1" applyFont="1">
      <alignment/>
      <protection/>
    </xf>
    <xf numFmtId="39" fontId="0" fillId="0" borderId="0" xfId="0" applyNumberFormat="1" applyFont="1" applyAlignment="1">
      <alignment/>
    </xf>
    <xf numFmtId="39" fontId="9" fillId="0" borderId="10" xfId="56" applyNumberFormat="1" applyFont="1" applyBorder="1" applyAlignment="1">
      <alignment horizontal="right"/>
      <protection/>
    </xf>
    <xf numFmtId="0" fontId="6" fillId="0" borderId="18" xfId="56" applyFont="1" applyBorder="1">
      <alignment/>
      <protection/>
    </xf>
    <xf numFmtId="0" fontId="9" fillId="0" borderId="0" xfId="56" applyFont="1" applyBorder="1">
      <alignment/>
      <protection/>
    </xf>
    <xf numFmtId="39" fontId="9" fillId="0" borderId="11" xfId="56" applyNumberFormat="1" applyFont="1" applyBorder="1" applyAlignment="1">
      <alignment horizontal="right"/>
      <protection/>
    </xf>
    <xf numFmtId="178" fontId="9" fillId="0" borderId="18" xfId="51" applyFont="1" applyBorder="1" applyAlignment="1">
      <alignment/>
    </xf>
    <xf numFmtId="39" fontId="119" fillId="0" borderId="13" xfId="0" applyNumberFormat="1" applyFont="1" applyFill="1" applyBorder="1" applyAlignment="1">
      <alignment/>
    </xf>
    <xf numFmtId="39" fontId="119" fillId="0" borderId="16" xfId="0" applyNumberFormat="1" applyFont="1" applyFill="1" applyBorder="1" applyAlignment="1">
      <alignment/>
    </xf>
    <xf numFmtId="39" fontId="2" fillId="0" borderId="0" xfId="0" applyNumberFormat="1" applyFont="1" applyFill="1" applyAlignment="1">
      <alignment/>
    </xf>
    <xf numFmtId="39" fontId="119" fillId="0" borderId="0" xfId="0" applyNumberFormat="1" applyFont="1" applyFill="1" applyBorder="1" applyAlignment="1">
      <alignment/>
    </xf>
    <xf numFmtId="0" fontId="120" fillId="0" borderId="0" xfId="46" applyFont="1" applyAlignment="1">
      <alignment/>
    </xf>
    <xf numFmtId="39" fontId="0" fillId="0" borderId="0" xfId="0" applyNumberFormat="1" applyFont="1" applyBorder="1" applyAlignment="1">
      <alignment/>
    </xf>
    <xf numFmtId="0" fontId="6" fillId="0" borderId="13" xfId="56" applyFont="1" applyBorder="1">
      <alignment/>
      <protection/>
    </xf>
    <xf numFmtId="0" fontId="8" fillId="0" borderId="0" xfId="0" applyFont="1" applyFill="1" applyBorder="1" applyAlignment="1">
      <alignment/>
    </xf>
    <xf numFmtId="39" fontId="6" fillId="0" borderId="16" xfId="0" applyNumberFormat="1" applyFont="1" applyFill="1" applyBorder="1" applyAlignment="1">
      <alignment/>
    </xf>
    <xf numFmtId="39" fontId="8" fillId="0" borderId="0" xfId="0" applyNumberFormat="1" applyFont="1" applyFill="1" applyAlignment="1">
      <alignment/>
    </xf>
    <xf numFmtId="39" fontId="8" fillId="0" borderId="13" xfId="0" applyNumberFormat="1" applyFont="1" applyFill="1" applyBorder="1" applyAlignment="1">
      <alignment/>
    </xf>
    <xf numFmtId="0" fontId="5" fillId="0" borderId="0" xfId="0" applyFont="1" applyFill="1" applyAlignment="1">
      <alignment/>
    </xf>
    <xf numFmtId="0" fontId="2" fillId="0" borderId="0" xfId="0" applyFont="1" applyFill="1" applyAlignment="1">
      <alignment/>
    </xf>
    <xf numFmtId="0" fontId="116" fillId="0" borderId="0" xfId="0" applyFont="1" applyFill="1" applyAlignment="1">
      <alignment/>
    </xf>
    <xf numFmtId="0" fontId="2" fillId="0" borderId="0" xfId="0" applyFont="1" applyFill="1" applyAlignment="1">
      <alignment/>
    </xf>
    <xf numFmtId="39" fontId="2" fillId="0" borderId="13" xfId="0" applyNumberFormat="1" applyFont="1" applyFill="1" applyBorder="1" applyAlignment="1">
      <alignment/>
    </xf>
    <xf numFmtId="39" fontId="5" fillId="0" borderId="10" xfId="0" applyNumberFormat="1" applyFont="1" applyFill="1" applyBorder="1" applyAlignment="1">
      <alignment/>
    </xf>
    <xf numFmtId="39" fontId="5" fillId="0" borderId="0" xfId="0" applyNumberFormat="1" applyFont="1" applyFill="1" applyAlignment="1">
      <alignment/>
    </xf>
    <xf numFmtId="179" fontId="2" fillId="0" borderId="0" xfId="0" applyNumberFormat="1" applyFont="1" applyFill="1" applyAlignment="1">
      <alignment/>
    </xf>
    <xf numFmtId="179" fontId="5" fillId="0" borderId="11" xfId="0" applyNumberFormat="1" applyFont="1" applyFill="1" applyBorder="1" applyAlignment="1">
      <alignment/>
    </xf>
    <xf numFmtId="0" fontId="24" fillId="0" borderId="0" xfId="0" applyFont="1" applyFill="1" applyAlignment="1">
      <alignment/>
    </xf>
    <xf numFmtId="4" fontId="5" fillId="0" borderId="0" xfId="0" applyNumberFormat="1" applyFont="1" applyFill="1" applyAlignment="1">
      <alignment/>
    </xf>
    <xf numFmtId="0" fontId="11" fillId="0" borderId="0" xfId="0" applyFont="1" applyFill="1" applyAlignment="1">
      <alignment horizontal="left"/>
    </xf>
    <xf numFmtId="0" fontId="0" fillId="0" borderId="0" xfId="0" applyFill="1" applyAlignment="1">
      <alignment horizontal="left"/>
    </xf>
    <xf numFmtId="0" fontId="7" fillId="0" borderId="0" xfId="0" applyFont="1" applyFill="1" applyAlignment="1">
      <alignment/>
    </xf>
    <xf numFmtId="0" fontId="7" fillId="0" borderId="0" xfId="0" applyFont="1" applyFill="1" applyAlignment="1">
      <alignment horizontal="center"/>
    </xf>
    <xf numFmtId="0" fontId="120" fillId="0" borderId="0" xfId="46" applyFont="1" applyFill="1" applyAlignment="1">
      <alignment/>
    </xf>
    <xf numFmtId="0" fontId="121" fillId="0" borderId="0" xfId="0" applyFont="1" applyFill="1" applyAlignment="1">
      <alignment/>
    </xf>
    <xf numFmtId="39" fontId="13" fillId="0" borderId="0" xfId="0" applyNumberFormat="1" applyFont="1" applyFill="1" applyAlignment="1">
      <alignment horizontal="right"/>
    </xf>
    <xf numFmtId="39" fontId="122" fillId="0" borderId="0" xfId="0" applyNumberFormat="1" applyFont="1" applyFill="1" applyAlignment="1">
      <alignment/>
    </xf>
    <xf numFmtId="0" fontId="123" fillId="0" borderId="0" xfId="0" applyFont="1" applyFill="1" applyAlignment="1">
      <alignment/>
    </xf>
    <xf numFmtId="39" fontId="121" fillId="0" borderId="0" xfId="0" applyNumberFormat="1" applyFont="1" applyFill="1" applyAlignment="1">
      <alignment/>
    </xf>
    <xf numFmtId="39" fontId="122" fillId="0" borderId="0" xfId="0" applyNumberFormat="1" applyFont="1" applyFill="1" applyAlignment="1">
      <alignment horizontal="right"/>
    </xf>
    <xf numFmtId="39" fontId="122" fillId="0" borderId="0" xfId="0" applyNumberFormat="1" applyFont="1" applyFill="1" applyBorder="1" applyAlignment="1">
      <alignment horizontal="right"/>
    </xf>
    <xf numFmtId="0" fontId="123" fillId="0" borderId="0" xfId="0" applyFont="1" applyFill="1" applyBorder="1" applyAlignment="1">
      <alignment/>
    </xf>
    <xf numFmtId="39" fontId="13" fillId="0" borderId="13" xfId="0" applyNumberFormat="1" applyFont="1" applyFill="1" applyBorder="1" applyAlignment="1">
      <alignment horizontal="right"/>
    </xf>
    <xf numFmtId="0" fontId="121" fillId="0" borderId="13" xfId="0" applyFont="1" applyFill="1" applyBorder="1" applyAlignment="1">
      <alignment/>
    </xf>
    <xf numFmtId="39" fontId="123" fillId="0" borderId="0" xfId="0" applyNumberFormat="1" applyFont="1" applyFill="1" applyBorder="1" applyAlignment="1">
      <alignment/>
    </xf>
    <xf numFmtId="39" fontId="124" fillId="0" borderId="0" xfId="0" applyNumberFormat="1" applyFont="1" applyFill="1" applyAlignment="1">
      <alignment/>
    </xf>
    <xf numFmtId="39" fontId="125" fillId="0" borderId="0" xfId="0" applyNumberFormat="1" applyFont="1" applyFill="1" applyAlignment="1">
      <alignment/>
    </xf>
    <xf numFmtId="0" fontId="99" fillId="0" borderId="0" xfId="0" applyFont="1" applyFill="1" applyAlignment="1">
      <alignment/>
    </xf>
    <xf numFmtId="0" fontId="7" fillId="0" borderId="0" xfId="49" applyFont="1" applyFill="1" applyAlignment="1">
      <alignment horizontal="center"/>
    </xf>
    <xf numFmtId="0" fontId="126" fillId="0" borderId="0" xfId="0" applyFont="1" applyFill="1" applyAlignment="1">
      <alignment horizontal="center"/>
    </xf>
    <xf numFmtId="0" fontId="121" fillId="0" borderId="0" xfId="0" applyFont="1" applyFill="1" applyAlignment="1">
      <alignment/>
    </xf>
    <xf numFmtId="0" fontId="20" fillId="0" borderId="0" xfId="49" applyFont="1" applyFill="1" applyBorder="1" applyAlignment="1">
      <alignment/>
    </xf>
    <xf numFmtId="0" fontId="12" fillId="0" borderId="11" xfId="49" applyFont="1" applyFill="1" applyBorder="1" applyAlignment="1">
      <alignment/>
    </xf>
    <xf numFmtId="0" fontId="14" fillId="0" borderId="0" xfId="0" applyFont="1" applyFill="1" applyAlignment="1">
      <alignment/>
    </xf>
    <xf numFmtId="0" fontId="14" fillId="0" borderId="0" xfId="49" applyFont="1" applyFill="1" applyAlignment="1">
      <alignment/>
    </xf>
    <xf numFmtId="0" fontId="127" fillId="0" borderId="0" xfId="0" applyFont="1" applyFill="1" applyAlignment="1">
      <alignment/>
    </xf>
    <xf numFmtId="0" fontId="12" fillId="0" borderId="0" xfId="0" applyFont="1" applyFill="1" applyBorder="1" applyAlignment="1">
      <alignment/>
    </xf>
    <xf numFmtId="0" fontId="12" fillId="0" borderId="10" xfId="0" applyFont="1" applyFill="1" applyBorder="1" applyAlignment="1">
      <alignment/>
    </xf>
    <xf numFmtId="0" fontId="8" fillId="0" borderId="0" xfId="49" applyFont="1" applyFill="1" applyBorder="1" applyAlignment="1">
      <alignment/>
    </xf>
    <xf numFmtId="0" fontId="7" fillId="0" borderId="0" xfId="49" applyFont="1" applyFill="1" applyBorder="1" applyAlignment="1">
      <alignment/>
    </xf>
    <xf numFmtId="39" fontId="121" fillId="0" borderId="16" xfId="0" applyNumberFormat="1" applyFont="1" applyFill="1" applyBorder="1" applyAlignment="1">
      <alignment/>
    </xf>
    <xf numFmtId="180" fontId="124" fillId="0" borderId="0" xfId="0" applyNumberFormat="1" applyFont="1" applyFill="1" applyAlignment="1">
      <alignment/>
    </xf>
    <xf numFmtId="39" fontId="128" fillId="0" borderId="0" xfId="0" applyNumberFormat="1" applyFont="1" applyFill="1" applyAlignment="1">
      <alignment/>
    </xf>
    <xf numFmtId="4" fontId="121" fillId="0" borderId="0" xfId="0" applyNumberFormat="1" applyFont="1" applyFill="1" applyAlignment="1">
      <alignment/>
    </xf>
    <xf numFmtId="39" fontId="129" fillId="0" borderId="0" xfId="0" applyNumberFormat="1" applyFont="1" applyFill="1" applyAlignment="1">
      <alignment/>
    </xf>
    <xf numFmtId="0" fontId="121" fillId="0" borderId="16" xfId="0" applyFont="1" applyFill="1" applyBorder="1" applyAlignment="1">
      <alignment/>
    </xf>
    <xf numFmtId="0" fontId="15" fillId="0" borderId="0" xfId="0" applyFont="1" applyFill="1" applyAlignment="1">
      <alignment/>
    </xf>
    <xf numFmtId="0" fontId="3" fillId="0" borderId="0" xfId="0" applyFont="1" applyFill="1" applyAlignment="1">
      <alignment/>
    </xf>
    <xf numFmtId="0" fontId="16" fillId="0" borderId="0" xfId="0" applyFont="1" applyFill="1" applyAlignment="1">
      <alignment horizontal="left"/>
    </xf>
    <xf numFmtId="0" fontId="3" fillId="0" borderId="0" xfId="0" applyFont="1" applyFill="1" applyAlignment="1">
      <alignment horizontal="left"/>
    </xf>
    <xf numFmtId="0" fontId="17" fillId="0" borderId="0" xfId="0" applyFont="1" applyFill="1" applyAlignment="1">
      <alignment/>
    </xf>
    <xf numFmtId="0" fontId="21" fillId="0" borderId="0" xfId="0" applyFont="1" applyFill="1" applyAlignment="1">
      <alignment/>
    </xf>
    <xf numFmtId="39" fontId="12" fillId="0" borderId="0" xfId="0" applyNumberFormat="1" applyFont="1" applyFill="1" applyAlignment="1">
      <alignment/>
    </xf>
    <xf numFmtId="39" fontId="12" fillId="0" borderId="17" xfId="0" applyNumberFormat="1" applyFont="1" applyFill="1" applyBorder="1" applyAlignment="1">
      <alignment/>
    </xf>
    <xf numFmtId="0" fontId="6" fillId="0" borderId="19" xfId="49" applyFont="1" applyFill="1" applyBorder="1" applyAlignment="1">
      <alignment/>
    </xf>
    <xf numFmtId="0" fontId="7" fillId="0" borderId="0" xfId="0" applyFont="1" applyFill="1" applyBorder="1" applyAlignment="1">
      <alignment/>
    </xf>
    <xf numFmtId="0" fontId="12" fillId="0" borderId="19" xfId="0" applyFont="1" applyFill="1" applyBorder="1" applyAlignment="1">
      <alignment/>
    </xf>
    <xf numFmtId="0" fontId="2" fillId="0" borderId="0" xfId="0" applyFont="1" applyFill="1" applyAlignment="1">
      <alignment horizontal="left"/>
    </xf>
    <xf numFmtId="0" fontId="6" fillId="0" borderId="0" xfId="0" applyFont="1" applyFill="1" applyBorder="1" applyAlignment="1">
      <alignment/>
    </xf>
    <xf numFmtId="0" fontId="0" fillId="0" borderId="20" xfId="0" applyFill="1" applyBorder="1" applyAlignment="1">
      <alignment/>
    </xf>
    <xf numFmtId="0" fontId="5" fillId="0" borderId="0" xfId="49" applyFont="1" applyFill="1" applyAlignment="1">
      <alignment/>
    </xf>
    <xf numFmtId="0" fontId="0" fillId="0" borderId="0" xfId="49" applyFont="1" applyFill="1" applyAlignment="1">
      <alignment/>
    </xf>
    <xf numFmtId="0" fontId="10" fillId="0" borderId="0" xfId="0" applyFont="1" applyFill="1" applyAlignment="1">
      <alignment/>
    </xf>
    <xf numFmtId="0" fontId="6" fillId="0" borderId="0" xfId="0" applyFont="1" applyFill="1" applyAlignment="1">
      <alignment horizontal="center"/>
    </xf>
    <xf numFmtId="39" fontId="6" fillId="0" borderId="0" xfId="0" applyNumberFormat="1" applyFont="1" applyFill="1" applyAlignment="1">
      <alignment/>
    </xf>
    <xf numFmtId="39" fontId="6" fillId="0" borderId="0" xfId="0" applyNumberFormat="1" applyFont="1" applyFill="1" applyAlignment="1">
      <alignment horizontal="right"/>
    </xf>
    <xf numFmtId="39" fontId="6" fillId="0" borderId="0" xfId="49" applyNumberFormat="1" applyFont="1" applyFill="1" applyAlignment="1">
      <alignment horizontal="right"/>
    </xf>
    <xf numFmtId="0" fontId="6" fillId="0" borderId="0" xfId="49" applyFont="1" applyFill="1" applyAlignment="1">
      <alignment horizontal="right"/>
    </xf>
    <xf numFmtId="0" fontId="6" fillId="0" borderId="0" xfId="49" applyFont="1" applyFill="1" applyBorder="1" applyAlignment="1">
      <alignment horizontal="right"/>
    </xf>
    <xf numFmtId="4" fontId="0" fillId="0" borderId="0" xfId="0" applyNumberFormat="1" applyFill="1" applyAlignment="1">
      <alignment/>
    </xf>
    <xf numFmtId="0" fontId="0" fillId="0" borderId="0" xfId="0" applyFill="1" applyAlignment="1">
      <alignment/>
    </xf>
    <xf numFmtId="0" fontId="112" fillId="0" borderId="0" xfId="0" applyFont="1" applyFill="1" applyAlignment="1">
      <alignment/>
    </xf>
    <xf numFmtId="39" fontId="99" fillId="0" borderId="0" xfId="0" applyNumberFormat="1" applyFont="1" applyAlignment="1">
      <alignment/>
    </xf>
    <xf numFmtId="181" fontId="129" fillId="0" borderId="10" xfId="0" applyNumberFormat="1" applyFont="1" applyFill="1" applyBorder="1" applyAlignment="1">
      <alignment/>
    </xf>
    <xf numFmtId="49" fontId="12"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xf>
    <xf numFmtId="49" fontId="6" fillId="0" borderId="0" xfId="49" applyNumberFormat="1" applyFont="1" applyFill="1" applyAlignment="1">
      <alignment/>
    </xf>
    <xf numFmtId="49" fontId="0" fillId="0" borderId="0" xfId="0" applyNumberFormat="1" applyFill="1" applyAlignment="1">
      <alignment/>
    </xf>
    <xf numFmtId="49" fontId="13" fillId="0" borderId="0" xfId="0" applyNumberFormat="1" applyFont="1" applyFill="1" applyAlignment="1">
      <alignment vertical="center"/>
    </xf>
    <xf numFmtId="49" fontId="13" fillId="0" borderId="0" xfId="0" applyNumberFormat="1" applyFont="1" applyFill="1" applyAlignment="1">
      <alignment/>
    </xf>
    <xf numFmtId="49" fontId="13" fillId="0" borderId="0" xfId="49" applyNumberFormat="1" applyFont="1" applyFill="1" applyAlignment="1">
      <alignment/>
    </xf>
    <xf numFmtId="49" fontId="121" fillId="0" borderId="0" xfId="0" applyNumberFormat="1" applyFont="1" applyFill="1" applyAlignment="1">
      <alignment/>
    </xf>
    <xf numFmtId="49" fontId="12" fillId="0" borderId="0" xfId="0" applyNumberFormat="1" applyFont="1" applyFill="1" applyAlignment="1">
      <alignment/>
    </xf>
    <xf numFmtId="0" fontId="27" fillId="0" borderId="0" xfId="0" applyFont="1" applyFill="1" applyAlignment="1">
      <alignment/>
    </xf>
    <xf numFmtId="39" fontId="13" fillId="0" borderId="0" xfId="0" applyNumberFormat="1" applyFont="1" applyFill="1" applyBorder="1" applyAlignment="1">
      <alignment/>
    </xf>
    <xf numFmtId="39" fontId="129" fillId="0" borderId="21" xfId="0" applyNumberFormat="1" applyFont="1" applyFill="1" applyBorder="1" applyAlignment="1">
      <alignment/>
    </xf>
    <xf numFmtId="0" fontId="69" fillId="0" borderId="0" xfId="0" applyFont="1" applyFill="1" applyAlignment="1">
      <alignment horizontal="center"/>
    </xf>
    <xf numFmtId="39" fontId="2" fillId="0" borderId="0" xfId="0" applyNumberFormat="1" applyFont="1" applyFill="1" applyAlignment="1">
      <alignment horizontal="right"/>
    </xf>
    <xf numFmtId="179" fontId="2" fillId="0" borderId="0" xfId="0" applyNumberFormat="1" applyFont="1" applyFill="1" applyBorder="1" applyAlignment="1">
      <alignment/>
    </xf>
    <xf numFmtId="0" fontId="2" fillId="0" borderId="0" xfId="0" applyFont="1" applyFill="1" applyBorder="1" applyAlignment="1">
      <alignment/>
    </xf>
    <xf numFmtId="4" fontId="2" fillId="0" borderId="0" xfId="0" applyNumberFormat="1" applyFont="1" applyFill="1" applyBorder="1" applyAlignment="1">
      <alignment/>
    </xf>
    <xf numFmtId="0" fontId="99" fillId="0" borderId="0" xfId="0" applyFont="1" applyAlignment="1">
      <alignment/>
    </xf>
    <xf numFmtId="8" fontId="2" fillId="0" borderId="0" xfId="0" applyNumberFormat="1" applyFont="1" applyFill="1" applyAlignment="1">
      <alignment/>
    </xf>
    <xf numFmtId="0" fontId="69" fillId="0" borderId="0" xfId="0" applyFont="1" applyFill="1" applyAlignment="1">
      <alignment/>
    </xf>
    <xf numFmtId="181" fontId="24" fillId="0" borderId="0" xfId="0" applyNumberFormat="1" applyFont="1" applyFill="1" applyAlignment="1">
      <alignment/>
    </xf>
    <xf numFmtId="8" fontId="24" fillId="0" borderId="0" xfId="0" applyNumberFormat="1" applyFont="1" applyFill="1" applyAlignment="1">
      <alignment/>
    </xf>
    <xf numFmtId="179" fontId="2" fillId="0" borderId="0" xfId="0" applyNumberFormat="1" applyFont="1" applyFill="1" applyAlignment="1">
      <alignment horizontal="right"/>
    </xf>
    <xf numFmtId="179" fontId="2" fillId="0" borderId="13" xfId="0" applyNumberFormat="1" applyFont="1" applyFill="1" applyBorder="1" applyAlignment="1">
      <alignment/>
    </xf>
    <xf numFmtId="0" fontId="2" fillId="0" borderId="13" xfId="0" applyFont="1" applyFill="1" applyBorder="1" applyAlignment="1">
      <alignment/>
    </xf>
    <xf numFmtId="4" fontId="2" fillId="0" borderId="13" xfId="0" applyNumberFormat="1" applyFont="1" applyFill="1" applyBorder="1" applyAlignment="1">
      <alignment/>
    </xf>
    <xf numFmtId="39" fontId="119" fillId="0" borderId="0" xfId="0" applyNumberFormat="1" applyFont="1" applyFill="1" applyAlignment="1">
      <alignment/>
    </xf>
    <xf numFmtId="4" fontId="12" fillId="0" borderId="10" xfId="49" applyNumberFormat="1" applyFont="1" applyFill="1" applyBorder="1" applyAlignment="1">
      <alignment/>
    </xf>
    <xf numFmtId="181" fontId="12" fillId="0" borderId="17" xfId="0" applyNumberFormat="1" applyFont="1" applyFill="1" applyBorder="1" applyAlignment="1">
      <alignment/>
    </xf>
    <xf numFmtId="4" fontId="112" fillId="0" borderId="0" xfId="0" applyNumberFormat="1" applyFont="1" applyFill="1" applyAlignment="1">
      <alignment/>
    </xf>
    <xf numFmtId="181" fontId="0" fillId="0" borderId="0" xfId="0" applyNumberFormat="1" applyAlignment="1">
      <alignment/>
    </xf>
    <xf numFmtId="4" fontId="12" fillId="0" borderId="0" xfId="49" applyNumberFormat="1" applyFont="1" applyFill="1" applyAlignment="1">
      <alignment/>
    </xf>
    <xf numFmtId="4" fontId="7" fillId="0" borderId="10" xfId="49" applyNumberFormat="1" applyFont="1" applyFill="1" applyBorder="1" applyAlignment="1">
      <alignment/>
    </xf>
    <xf numFmtId="39" fontId="7" fillId="0" borderId="10" xfId="49" applyNumberFormat="1" applyFont="1" applyFill="1" applyBorder="1" applyAlignment="1">
      <alignment/>
    </xf>
    <xf numFmtId="39" fontId="9" fillId="0" borderId="10" xfId="56" applyNumberFormat="1" applyFont="1" applyBorder="1">
      <alignment/>
      <protection/>
    </xf>
    <xf numFmtId="4" fontId="12" fillId="0" borderId="10" xfId="0" applyNumberFormat="1" applyFont="1" applyFill="1" applyBorder="1" applyAlignment="1">
      <alignment/>
    </xf>
    <xf numFmtId="39" fontId="12" fillId="0" borderId="0" xfId="49" applyNumberFormat="1" applyFont="1" applyFill="1" applyAlignment="1">
      <alignment/>
    </xf>
    <xf numFmtId="181" fontId="12" fillId="0" borderId="0" xfId="49" applyNumberFormat="1" applyFont="1" applyFill="1" applyAlignment="1">
      <alignment/>
    </xf>
    <xf numFmtId="4" fontId="12" fillId="0" borderId="11" xfId="49" applyNumberFormat="1" applyFont="1" applyFill="1" applyBorder="1" applyAlignment="1">
      <alignment/>
    </xf>
    <xf numFmtId="8" fontId="130" fillId="0" borderId="0" xfId="0" applyNumberFormat="1" applyFont="1" applyFill="1" applyAlignment="1">
      <alignment/>
    </xf>
    <xf numFmtId="4" fontId="5" fillId="0" borderId="14" xfId="0" applyNumberFormat="1" applyFont="1" applyFill="1" applyBorder="1" applyAlignment="1">
      <alignment/>
    </xf>
    <xf numFmtId="4" fontId="5" fillId="0" borderId="22" xfId="0" applyNumberFormat="1" applyFont="1" applyFill="1" applyBorder="1" applyAlignment="1">
      <alignment/>
    </xf>
    <xf numFmtId="175" fontId="12" fillId="0" borderId="0" xfId="0" applyNumberFormat="1" applyFont="1" applyFill="1" applyAlignment="1">
      <alignment/>
    </xf>
    <xf numFmtId="0" fontId="116" fillId="0" borderId="13" xfId="0" applyFont="1" applyFill="1" applyBorder="1" applyAlignment="1">
      <alignment horizontal="center"/>
    </xf>
    <xf numFmtId="0" fontId="116" fillId="0" borderId="13" xfId="0" applyFont="1" applyFill="1" applyBorder="1" applyAlignment="1">
      <alignment/>
    </xf>
    <xf numFmtId="180" fontId="119" fillId="0" borderId="0" xfId="0" applyNumberFormat="1" applyFont="1" applyFill="1" applyAlignment="1">
      <alignment/>
    </xf>
    <xf numFmtId="187" fontId="0" fillId="0" borderId="0" xfId="0" applyNumberFormat="1" applyAlignment="1">
      <alignment/>
    </xf>
    <xf numFmtId="39" fontId="119" fillId="0" borderId="0" xfId="0" applyNumberFormat="1" applyFont="1" applyFill="1" applyAlignment="1">
      <alignment/>
    </xf>
    <xf numFmtId="0" fontId="69" fillId="0" borderId="0" xfId="46" applyFont="1" applyAlignment="1">
      <alignment/>
    </xf>
    <xf numFmtId="8" fontId="131" fillId="0" borderId="0" xfId="0" applyNumberFormat="1" applyFont="1" applyFill="1" applyAlignment="1">
      <alignment/>
    </xf>
    <xf numFmtId="39" fontId="2" fillId="0" borderId="13" xfId="0" applyNumberFormat="1" applyFont="1" applyFill="1" applyBorder="1" applyAlignment="1">
      <alignment horizontal="right"/>
    </xf>
    <xf numFmtId="39" fontId="6" fillId="0" borderId="0" xfId="0" applyNumberFormat="1" applyFont="1" applyFill="1" applyBorder="1" applyAlignment="1">
      <alignment/>
    </xf>
    <xf numFmtId="0" fontId="132" fillId="0" borderId="0" xfId="0" applyFont="1" applyAlignment="1">
      <alignment vertical="center"/>
    </xf>
    <xf numFmtId="0" fontId="0" fillId="0" borderId="0" xfId="0" applyAlignment="1">
      <alignment vertical="center"/>
    </xf>
    <xf numFmtId="169" fontId="132" fillId="0" borderId="0" xfId="0" applyNumberFormat="1" applyFont="1" applyAlignment="1">
      <alignment vertical="center"/>
    </xf>
    <xf numFmtId="37" fontId="132" fillId="0" borderId="0" xfId="0" applyNumberFormat="1" applyFont="1" applyAlignment="1">
      <alignment vertical="center"/>
    </xf>
    <xf numFmtId="0" fontId="132" fillId="0" borderId="0" xfId="0" applyFont="1" applyAlignment="1">
      <alignment/>
    </xf>
    <xf numFmtId="0" fontId="132" fillId="0" borderId="0" xfId="0" applyFont="1" applyFill="1" applyAlignment="1">
      <alignment vertical="center"/>
    </xf>
    <xf numFmtId="0" fontId="132" fillId="0" borderId="0" xfId="0" applyFont="1" applyFill="1" applyAlignment="1">
      <alignment/>
    </xf>
    <xf numFmtId="0" fontId="133" fillId="0" borderId="0" xfId="0" applyFont="1" applyAlignment="1">
      <alignment horizontal="left" vertical="center"/>
    </xf>
    <xf numFmtId="171" fontId="132" fillId="0" borderId="0" xfId="0" applyNumberFormat="1" applyFont="1" applyAlignment="1">
      <alignment vertical="center"/>
    </xf>
    <xf numFmtId="169" fontId="132" fillId="0" borderId="0" xfId="0" applyNumberFormat="1" applyFont="1" applyFill="1" applyAlignment="1">
      <alignment vertical="center"/>
    </xf>
    <xf numFmtId="37" fontId="132" fillId="0" borderId="0" xfId="0" applyNumberFormat="1" applyFont="1" applyFill="1" applyAlignment="1">
      <alignment vertical="center"/>
    </xf>
    <xf numFmtId="169" fontId="132" fillId="0" borderId="0" xfId="0" applyNumberFormat="1" applyFont="1" applyFill="1" applyAlignment="1">
      <alignment/>
    </xf>
    <xf numFmtId="37" fontId="132" fillId="0" borderId="0" xfId="0" applyNumberFormat="1" applyFont="1" applyFill="1" applyAlignment="1">
      <alignment/>
    </xf>
    <xf numFmtId="0" fontId="134" fillId="0" borderId="0" xfId="0" applyFont="1" applyFill="1" applyAlignment="1">
      <alignment/>
    </xf>
    <xf numFmtId="0" fontId="135" fillId="0" borderId="0" xfId="0" applyFont="1" applyFill="1" applyAlignment="1">
      <alignment horizontal="left" vertical="center" indent="5"/>
    </xf>
    <xf numFmtId="0" fontId="132" fillId="0" borderId="0" xfId="0" applyFont="1" applyFill="1" applyBorder="1" applyAlignment="1">
      <alignment/>
    </xf>
    <xf numFmtId="0" fontId="132" fillId="0" borderId="0" xfId="0" applyFont="1" applyFill="1" applyBorder="1" applyAlignment="1">
      <alignment vertical="center"/>
    </xf>
    <xf numFmtId="0" fontId="134" fillId="0" borderId="0" xfId="0" applyFont="1" applyFill="1" applyBorder="1" applyAlignment="1">
      <alignment vertical="center"/>
    </xf>
    <xf numFmtId="0" fontId="135" fillId="0" borderId="0" xfId="0" applyFont="1" applyFill="1" applyBorder="1" applyAlignment="1">
      <alignment horizontal="left" vertical="center" indent="5"/>
    </xf>
    <xf numFmtId="169" fontId="132" fillId="0" borderId="0" xfId="0" applyNumberFormat="1" applyFont="1" applyFill="1" applyBorder="1" applyAlignment="1">
      <alignment/>
    </xf>
    <xf numFmtId="0" fontId="133" fillId="0" borderId="0" xfId="0" applyFont="1" applyAlignment="1">
      <alignment vertical="center"/>
    </xf>
    <xf numFmtId="0" fontId="29" fillId="0" borderId="0" xfId="57" applyFont="1" applyAlignment="1">
      <alignment horizontal="left"/>
      <protection/>
    </xf>
    <xf numFmtId="37" fontId="0" fillId="0" borderId="0" xfId="0" applyNumberFormat="1" applyAlignment="1">
      <alignment vertical="center"/>
    </xf>
    <xf numFmtId="0" fontId="133" fillId="0" borderId="0" xfId="0" applyFont="1" applyAlignment="1">
      <alignment/>
    </xf>
    <xf numFmtId="0" fontId="0" fillId="0" borderId="0" xfId="0" applyFill="1" applyBorder="1" applyAlignment="1">
      <alignment horizontal="left" vertical="top" wrapText="1"/>
    </xf>
    <xf numFmtId="0" fontId="23" fillId="0" borderId="0" xfId="0" applyFont="1" applyFill="1" applyBorder="1" applyAlignment="1">
      <alignment horizontal="left" vertical="center" wrapText="1"/>
    </xf>
    <xf numFmtId="9" fontId="29" fillId="0" borderId="0"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30" fillId="0" borderId="0" xfId="0" applyFont="1" applyAlignment="1">
      <alignment vertical="center"/>
    </xf>
    <xf numFmtId="0" fontId="24" fillId="0" borderId="0" xfId="0" applyFont="1" applyAlignment="1">
      <alignment vertical="center"/>
    </xf>
    <xf numFmtId="0" fontId="99" fillId="0" borderId="0" xfId="0" applyFont="1" applyAlignment="1">
      <alignment vertical="center"/>
    </xf>
    <xf numFmtId="169" fontId="24" fillId="0" borderId="0" xfId="0" applyNumberFormat="1" applyFont="1" applyAlignment="1">
      <alignment vertical="center"/>
    </xf>
    <xf numFmtId="0" fontId="30" fillId="0" borderId="0" xfId="0" applyFont="1" applyBorder="1" applyAlignment="1">
      <alignment vertical="center"/>
    </xf>
    <xf numFmtId="0" fontId="31" fillId="0" borderId="0" xfId="0" applyFont="1" applyBorder="1" applyAlignment="1">
      <alignment horizontal="center" vertical="center"/>
    </xf>
    <xf numFmtId="39" fontId="30" fillId="0" borderId="0" xfId="0" applyNumberFormat="1" applyFont="1" applyBorder="1" applyAlignment="1">
      <alignment vertical="center"/>
    </xf>
    <xf numFmtId="169" fontId="30" fillId="0" borderId="0" xfId="0" applyNumberFormat="1" applyFont="1" applyBorder="1" applyAlignment="1">
      <alignment/>
    </xf>
    <xf numFmtId="0" fontId="30" fillId="0" borderId="0" xfId="0" applyFont="1" applyAlignment="1">
      <alignment/>
    </xf>
    <xf numFmtId="0" fontId="24" fillId="0" borderId="0" xfId="0" applyFont="1" applyAlignment="1">
      <alignment/>
    </xf>
    <xf numFmtId="169" fontId="24" fillId="0" borderId="0" xfId="0" applyNumberFormat="1" applyFont="1" applyAlignment="1">
      <alignment/>
    </xf>
    <xf numFmtId="4" fontId="24" fillId="0" borderId="0" xfId="0" applyNumberFormat="1" applyFont="1" applyAlignment="1">
      <alignment/>
    </xf>
    <xf numFmtId="169" fontId="30" fillId="0" borderId="0" xfId="0" applyNumberFormat="1" applyFont="1" applyBorder="1" applyAlignment="1">
      <alignment vertical="center"/>
    </xf>
    <xf numFmtId="4" fontId="24" fillId="0" borderId="0" xfId="0" applyNumberFormat="1" applyFont="1" applyAlignment="1">
      <alignment vertical="center"/>
    </xf>
    <xf numFmtId="169" fontId="99" fillId="0" borderId="0" xfId="0" applyNumberFormat="1" applyFont="1" applyAlignment="1">
      <alignment/>
    </xf>
    <xf numFmtId="169" fontId="29" fillId="0" borderId="0" xfId="0" applyNumberFormat="1" applyFont="1" applyBorder="1" applyAlignment="1">
      <alignment vertical="center"/>
    </xf>
    <xf numFmtId="0" fontId="32" fillId="0" borderId="0" xfId="0" applyFont="1" applyAlignment="1">
      <alignment horizontal="left" vertical="center" indent="5"/>
    </xf>
    <xf numFmtId="4" fontId="99" fillId="0" borderId="0" xfId="0" applyNumberFormat="1" applyFont="1" applyAlignment="1">
      <alignment vertical="center"/>
    </xf>
    <xf numFmtId="169" fontId="30" fillId="0" borderId="0" xfId="0" applyNumberFormat="1" applyFont="1" applyAlignment="1">
      <alignment vertical="center"/>
    </xf>
    <xf numFmtId="176" fontId="132" fillId="0" borderId="0" xfId="0" applyNumberFormat="1" applyFont="1" applyAlignment="1">
      <alignment vertical="center"/>
    </xf>
    <xf numFmtId="176" fontId="30" fillId="0" borderId="0" xfId="0" applyNumberFormat="1" applyFont="1" applyAlignment="1">
      <alignment vertical="center"/>
    </xf>
    <xf numFmtId="178" fontId="130" fillId="0" borderId="0" xfId="51" applyFont="1" applyBorder="1" applyAlignment="1">
      <alignment/>
    </xf>
    <xf numFmtId="0" fontId="22" fillId="0" borderId="0" xfId="57" applyFont="1">
      <alignment/>
      <protection/>
    </xf>
    <xf numFmtId="0" fontId="136" fillId="0" borderId="0" xfId="57" applyFont="1">
      <alignment/>
      <protection/>
    </xf>
    <xf numFmtId="0" fontId="137" fillId="0" borderId="0" xfId="0" applyFont="1" applyFill="1" applyAlignment="1">
      <alignment horizontal="center"/>
    </xf>
    <xf numFmtId="39" fontId="123" fillId="0" borderId="0" xfId="0" applyNumberFormat="1" applyFont="1" applyFill="1" applyAlignment="1">
      <alignment/>
    </xf>
    <xf numFmtId="39" fontId="122" fillId="0" borderId="0" xfId="49" applyNumberFormat="1" applyFont="1" applyFill="1" applyBorder="1" applyAlignment="1">
      <alignment/>
    </xf>
    <xf numFmtId="0" fontId="122" fillId="0" borderId="0" xfId="49" applyFont="1" applyFill="1" applyBorder="1" applyAlignment="1">
      <alignment/>
    </xf>
    <xf numFmtId="39" fontId="122" fillId="0" borderId="13" xfId="0" applyNumberFormat="1" applyFont="1" applyFill="1" applyBorder="1" applyAlignment="1">
      <alignment horizontal="right"/>
    </xf>
    <xf numFmtId="39" fontId="122" fillId="0" borderId="13" xfId="0" applyNumberFormat="1" applyFont="1" applyFill="1" applyBorder="1" applyAlignment="1">
      <alignment/>
    </xf>
    <xf numFmtId="0" fontId="123" fillId="0" borderId="13" xfId="0" applyFont="1" applyFill="1" applyBorder="1" applyAlignment="1">
      <alignment/>
    </xf>
    <xf numFmtId="39" fontId="122" fillId="0" borderId="16" xfId="0" applyNumberFormat="1" applyFont="1" applyFill="1" applyBorder="1" applyAlignment="1">
      <alignment/>
    </xf>
    <xf numFmtId="39" fontId="99" fillId="0" borderId="0" xfId="0" applyNumberFormat="1" applyFont="1" applyFill="1" applyAlignment="1">
      <alignment/>
    </xf>
    <xf numFmtId="39" fontId="138" fillId="0" borderId="0" xfId="0" applyNumberFormat="1" applyFont="1" applyFill="1" applyAlignment="1">
      <alignment/>
    </xf>
    <xf numFmtId="0" fontId="138" fillId="0" borderId="0" xfId="0" applyFont="1" applyFill="1" applyAlignment="1">
      <alignment/>
    </xf>
    <xf numFmtId="0" fontId="137" fillId="0" borderId="0" xfId="49" applyFont="1" applyFill="1" applyAlignment="1">
      <alignment horizontal="center"/>
    </xf>
    <xf numFmtId="0" fontId="122" fillId="0" borderId="0" xfId="0" applyFont="1" applyFill="1" applyAlignment="1">
      <alignment/>
    </xf>
    <xf numFmtId="0" fontId="122" fillId="0" borderId="13" xfId="49" applyFont="1" applyFill="1" applyBorder="1" applyAlignment="1">
      <alignment/>
    </xf>
    <xf numFmtId="181" fontId="139" fillId="0" borderId="10" xfId="0" applyNumberFormat="1" applyFont="1" applyFill="1" applyBorder="1" applyAlignment="1">
      <alignment/>
    </xf>
    <xf numFmtId="0" fontId="125" fillId="0" borderId="11" xfId="49" applyFont="1" applyFill="1" applyBorder="1" applyAlignment="1">
      <alignment/>
    </xf>
    <xf numFmtId="0" fontId="125" fillId="0" borderId="0" xfId="0" applyFont="1" applyFill="1" applyAlignment="1">
      <alignment/>
    </xf>
    <xf numFmtId="0" fontId="140" fillId="0" borderId="0" xfId="0" applyFont="1" applyFill="1" applyAlignment="1">
      <alignment/>
    </xf>
    <xf numFmtId="0" fontId="137" fillId="0" borderId="0" xfId="0" applyFont="1" applyFill="1" applyAlignment="1">
      <alignment horizontal="right"/>
    </xf>
    <xf numFmtId="39" fontId="141" fillId="0" borderId="0" xfId="0" applyNumberFormat="1" applyFont="1" applyFill="1" applyAlignment="1">
      <alignment/>
    </xf>
    <xf numFmtId="0" fontId="125" fillId="0" borderId="10" xfId="0" applyFont="1" applyFill="1" applyBorder="1" applyAlignment="1">
      <alignment/>
    </xf>
    <xf numFmtId="0" fontId="102" fillId="0" borderId="0" xfId="0" applyFont="1" applyFill="1" applyAlignment="1">
      <alignment/>
    </xf>
    <xf numFmtId="39" fontId="142" fillId="0" borderId="0" xfId="0" applyNumberFormat="1" applyFont="1" applyFill="1" applyAlignment="1">
      <alignment/>
    </xf>
    <xf numFmtId="0" fontId="140" fillId="0" borderId="0" xfId="0" applyFont="1" applyFill="1" applyAlignment="1">
      <alignment horizontal="right"/>
    </xf>
    <xf numFmtId="0" fontId="125" fillId="0" borderId="10" xfId="49" applyFont="1" applyFill="1" applyBorder="1" applyAlignment="1">
      <alignment/>
    </xf>
    <xf numFmtId="39" fontId="122" fillId="0" borderId="0" xfId="0" applyNumberFormat="1" applyFont="1" applyFill="1" applyBorder="1" applyAlignment="1">
      <alignment/>
    </xf>
    <xf numFmtId="8" fontId="123" fillId="0" borderId="0" xfId="0" applyNumberFormat="1" applyFont="1" applyFill="1" applyAlignment="1">
      <alignment/>
    </xf>
    <xf numFmtId="39" fontId="123" fillId="0" borderId="16" xfId="0" applyNumberFormat="1" applyFont="1" applyFill="1" applyBorder="1" applyAlignment="1">
      <alignment/>
    </xf>
    <xf numFmtId="0" fontId="125" fillId="0" borderId="0" xfId="49" applyFont="1" applyFill="1" applyAlignment="1">
      <alignment/>
    </xf>
    <xf numFmtId="180" fontId="125" fillId="0" borderId="0" xfId="0" applyNumberFormat="1" applyFont="1" applyFill="1" applyAlignment="1">
      <alignment/>
    </xf>
    <xf numFmtId="39" fontId="138" fillId="0" borderId="16" xfId="0" applyNumberFormat="1" applyFont="1" applyFill="1" applyBorder="1" applyAlignment="1">
      <alignment/>
    </xf>
    <xf numFmtId="4" fontId="123" fillId="0" borderId="0" xfId="0" applyNumberFormat="1" applyFont="1" applyFill="1" applyAlignment="1">
      <alignment/>
    </xf>
    <xf numFmtId="4" fontId="123" fillId="0" borderId="16" xfId="0" applyNumberFormat="1" applyFont="1" applyFill="1" applyBorder="1" applyAlignment="1">
      <alignment/>
    </xf>
    <xf numFmtId="4" fontId="139" fillId="0" borderId="0" xfId="0" applyNumberFormat="1" applyFont="1" applyFill="1" applyAlignment="1">
      <alignment/>
    </xf>
    <xf numFmtId="0" fontId="123" fillId="0" borderId="16" xfId="0" applyFont="1" applyFill="1" applyBorder="1" applyAlignment="1">
      <alignment/>
    </xf>
    <xf numFmtId="39" fontId="125" fillId="0" borderId="17" xfId="0" applyNumberFormat="1" applyFont="1" applyFill="1" applyBorder="1" applyAlignment="1">
      <alignment/>
    </xf>
    <xf numFmtId="0" fontId="125" fillId="0" borderId="17" xfId="0" applyFont="1" applyFill="1" applyBorder="1" applyAlignment="1">
      <alignment/>
    </xf>
    <xf numFmtId="0" fontId="125" fillId="0" borderId="16" xfId="49" applyFont="1" applyFill="1" applyBorder="1" applyAlignment="1">
      <alignment/>
    </xf>
    <xf numFmtId="0" fontId="99" fillId="0" borderId="16" xfId="0" applyFont="1" applyFill="1" applyBorder="1" applyAlignment="1">
      <alignment/>
    </xf>
    <xf numFmtId="0" fontId="125" fillId="0" borderId="0" xfId="0" applyFont="1" applyFill="1" applyBorder="1" applyAlignment="1">
      <alignment/>
    </xf>
    <xf numFmtId="0" fontId="99" fillId="0" borderId="0" xfId="0" applyFont="1" applyFill="1" applyBorder="1" applyAlignment="1">
      <alignment/>
    </xf>
    <xf numFmtId="39" fontId="138" fillId="0" borderId="0" xfId="0" applyNumberFormat="1" applyFont="1" applyAlignment="1">
      <alignment/>
    </xf>
    <xf numFmtId="181" fontId="123" fillId="0" borderId="0" xfId="0" applyNumberFormat="1" applyFont="1" applyFill="1" applyAlignment="1">
      <alignment/>
    </xf>
    <xf numFmtId="0" fontId="99" fillId="0" borderId="20" xfId="0" applyFont="1" applyFill="1" applyBorder="1" applyAlignment="1">
      <alignment/>
    </xf>
    <xf numFmtId="0" fontId="137" fillId="0" borderId="10" xfId="49" applyFont="1" applyFill="1" applyBorder="1" applyAlignment="1">
      <alignment/>
    </xf>
    <xf numFmtId="0" fontId="0" fillId="0" borderId="23" xfId="0" applyBorder="1" applyAlignment="1">
      <alignment/>
    </xf>
    <xf numFmtId="39" fontId="0" fillId="0" borderId="23" xfId="0" applyNumberFormat="1" applyBorder="1" applyAlignment="1">
      <alignment/>
    </xf>
    <xf numFmtId="39" fontId="116" fillId="0" borderId="23" xfId="0" applyNumberFormat="1" applyFont="1" applyBorder="1" applyAlignment="1">
      <alignment/>
    </xf>
    <xf numFmtId="0" fontId="116" fillId="0" borderId="23" xfId="0" applyFont="1" applyBorder="1" applyAlignment="1">
      <alignment horizontal="center"/>
    </xf>
    <xf numFmtId="0" fontId="0" fillId="33" borderId="0" xfId="0" applyFill="1" applyAlignment="1">
      <alignment/>
    </xf>
    <xf numFmtId="0" fontId="0" fillId="33" borderId="0" xfId="49" applyFont="1" applyFill="1" applyAlignment="1">
      <alignment/>
    </xf>
    <xf numFmtId="0" fontId="6" fillId="34" borderId="0" xfId="56" applyFont="1" applyFill="1">
      <alignment/>
      <protection/>
    </xf>
    <xf numFmtId="0" fontId="0" fillId="34" borderId="0" xfId="0" applyFill="1" applyAlignment="1">
      <alignment/>
    </xf>
    <xf numFmtId="39" fontId="24" fillId="34" borderId="0" xfId="56" applyNumberFormat="1" applyFont="1" applyFill="1">
      <alignment/>
      <protection/>
    </xf>
    <xf numFmtId="39" fontId="0" fillId="34" borderId="0" xfId="0" applyNumberFormat="1" applyFill="1" applyAlignment="1">
      <alignment/>
    </xf>
    <xf numFmtId="0" fontId="99" fillId="34" borderId="0" xfId="0" applyFont="1" applyFill="1" applyAlignment="1">
      <alignment/>
    </xf>
    <xf numFmtId="39" fontId="0" fillId="34" borderId="0" xfId="56" applyNumberFormat="1" applyFont="1" applyFill="1">
      <alignment/>
      <protection/>
    </xf>
    <xf numFmtId="39" fontId="0" fillId="34" borderId="0" xfId="0" applyNumberFormat="1" applyFont="1" applyFill="1" applyAlignment="1">
      <alignment/>
    </xf>
    <xf numFmtId="0" fontId="134" fillId="0" borderId="0" xfId="0" applyFont="1" applyAlignment="1">
      <alignment vertical="center"/>
    </xf>
    <xf numFmtId="0" fontId="134" fillId="0" borderId="0" xfId="49" applyFont="1" applyAlignment="1">
      <alignment vertical="center"/>
    </xf>
    <xf numFmtId="0" fontId="132" fillId="0" borderId="0" xfId="0" applyFont="1" applyAlignment="1">
      <alignment horizontal="right" vertical="center"/>
    </xf>
    <xf numFmtId="0" fontId="134" fillId="0" borderId="0" xfId="0" applyFont="1" applyAlignment="1">
      <alignment horizontal="right" vertical="center"/>
    </xf>
    <xf numFmtId="169" fontId="143" fillId="0" borderId="0" xfId="0" applyNumberFormat="1" applyFont="1" applyAlignment="1">
      <alignment vertical="center"/>
    </xf>
    <xf numFmtId="0" fontId="0" fillId="34" borderId="0" xfId="49" applyFont="1" applyFill="1" applyAlignment="1">
      <alignment/>
    </xf>
    <xf numFmtId="0" fontId="24" fillId="34" borderId="0" xfId="49" applyFont="1" applyFill="1" applyAlignment="1">
      <alignment/>
    </xf>
    <xf numFmtId="181" fontId="99" fillId="0" borderId="0" xfId="0" applyNumberFormat="1" applyFont="1" applyAlignment="1">
      <alignment/>
    </xf>
    <xf numFmtId="0" fontId="132" fillId="0" borderId="0" xfId="0" applyFont="1" applyBorder="1" applyAlignment="1">
      <alignment vertical="center"/>
    </xf>
    <xf numFmtId="0" fontId="144" fillId="0" borderId="0" xfId="0" applyFont="1" applyBorder="1" applyAlignment="1">
      <alignment horizontal="left" vertical="center"/>
    </xf>
    <xf numFmtId="1" fontId="145" fillId="0" borderId="0" xfId="0" applyNumberFormat="1" applyFont="1" applyBorder="1" applyAlignment="1">
      <alignment horizontal="center" vertical="center"/>
    </xf>
    <xf numFmtId="0" fontId="133" fillId="0" borderId="0" xfId="0" applyFont="1" applyBorder="1" applyAlignment="1">
      <alignment horizontal="center" vertical="center"/>
    </xf>
    <xf numFmtId="0" fontId="133" fillId="0" borderId="0" xfId="0" applyFont="1" applyFill="1" applyBorder="1" applyAlignment="1">
      <alignment horizontal="left" vertical="center"/>
    </xf>
    <xf numFmtId="0" fontId="132" fillId="0" borderId="0" xfId="0" applyFont="1" applyFill="1" applyBorder="1" applyAlignment="1">
      <alignment horizontal="justify" vertical="center"/>
    </xf>
    <xf numFmtId="39" fontId="133" fillId="0" borderId="0" xfId="0" applyNumberFormat="1" applyFont="1" applyFill="1" applyBorder="1" applyAlignment="1">
      <alignment vertical="center"/>
    </xf>
    <xf numFmtId="39" fontId="132" fillId="0" borderId="0" xfId="0" applyNumberFormat="1" applyFont="1" applyFill="1" applyBorder="1" applyAlignment="1">
      <alignment vertical="center"/>
    </xf>
    <xf numFmtId="169" fontId="132" fillId="0" borderId="0" xfId="0" applyNumberFormat="1" applyFont="1" applyFill="1" applyBorder="1" applyAlignment="1">
      <alignment vertical="center"/>
    </xf>
    <xf numFmtId="169" fontId="132" fillId="0" borderId="0" xfId="0" applyNumberFormat="1" applyFont="1" applyFill="1" applyBorder="1" applyAlignment="1">
      <alignment horizontal="left" vertical="center"/>
    </xf>
    <xf numFmtId="169" fontId="132" fillId="0" borderId="0" xfId="0" applyNumberFormat="1" applyFont="1" applyFill="1" applyBorder="1" applyAlignment="1">
      <alignment horizontal="left" vertical="center" indent="5"/>
    </xf>
    <xf numFmtId="169" fontId="133" fillId="0" borderId="0" xfId="0" applyNumberFormat="1" applyFont="1" applyFill="1" applyBorder="1" applyAlignment="1">
      <alignment vertical="center"/>
    </xf>
    <xf numFmtId="169" fontId="146" fillId="0" borderId="0" xfId="0" applyNumberFormat="1" applyFont="1" applyFill="1" applyBorder="1" applyAlignment="1">
      <alignment horizontal="left" vertical="center"/>
    </xf>
    <xf numFmtId="169" fontId="132" fillId="0" borderId="0" xfId="0" applyNumberFormat="1" applyFont="1" applyFill="1" applyBorder="1" applyAlignment="1">
      <alignment/>
    </xf>
    <xf numFmtId="0" fontId="133" fillId="0" borderId="0" xfId="0" applyFont="1" applyFill="1" applyBorder="1" applyAlignment="1">
      <alignment horizontal="left" vertical="top"/>
    </xf>
    <xf numFmtId="169" fontId="133" fillId="0" borderId="11" xfId="0" applyNumberFormat="1" applyFont="1" applyFill="1" applyBorder="1" applyAlignment="1">
      <alignment vertical="center"/>
    </xf>
    <xf numFmtId="169" fontId="132" fillId="0" borderId="13" xfId="0" applyNumberFormat="1" applyFont="1" applyFill="1" applyBorder="1" applyAlignment="1">
      <alignment vertical="center"/>
    </xf>
    <xf numFmtId="169" fontId="132" fillId="0" borderId="13" xfId="0" applyNumberFormat="1" applyFont="1" applyFill="1" applyBorder="1" applyAlignment="1">
      <alignment/>
    </xf>
    <xf numFmtId="169" fontId="133" fillId="0" borderId="13" xfId="0" applyNumberFormat="1" applyFont="1" applyFill="1" applyBorder="1" applyAlignment="1">
      <alignment vertical="center"/>
    </xf>
    <xf numFmtId="0" fontId="133" fillId="0" borderId="0" xfId="0" applyFont="1" applyBorder="1" applyAlignment="1">
      <alignment horizontal="left" vertical="center"/>
    </xf>
    <xf numFmtId="0" fontId="132" fillId="0" borderId="0" xfId="0" applyFont="1" applyBorder="1" applyAlignment="1">
      <alignment horizontal="justify" vertical="center"/>
    </xf>
    <xf numFmtId="39" fontId="133" fillId="0" borderId="0" xfId="0" applyNumberFormat="1" applyFont="1" applyBorder="1" applyAlignment="1">
      <alignment vertical="center"/>
    </xf>
    <xf numFmtId="39" fontId="132" fillId="0" borderId="0" xfId="0" applyNumberFormat="1" applyFont="1" applyBorder="1" applyAlignment="1">
      <alignment vertical="center"/>
    </xf>
    <xf numFmtId="169" fontId="132" fillId="0" borderId="0" xfId="0" applyNumberFormat="1" applyFont="1" applyBorder="1" applyAlignment="1">
      <alignment vertical="center"/>
    </xf>
    <xf numFmtId="169" fontId="132" fillId="0" borderId="0" xfId="0" applyNumberFormat="1" applyFont="1" applyBorder="1" applyAlignment="1">
      <alignment horizontal="left" vertical="center"/>
    </xf>
    <xf numFmtId="169" fontId="133" fillId="0" borderId="0" xfId="0" applyNumberFormat="1" applyFont="1" applyBorder="1" applyAlignment="1">
      <alignment vertical="center"/>
    </xf>
    <xf numFmtId="0" fontId="132" fillId="0" borderId="0" xfId="0" applyFont="1" applyBorder="1" applyAlignment="1">
      <alignment horizontal="left" vertical="center"/>
    </xf>
    <xf numFmtId="169" fontId="146" fillId="0" borderId="0" xfId="0" applyNumberFormat="1" applyFont="1" applyBorder="1" applyAlignment="1">
      <alignment horizontal="left" vertical="center"/>
    </xf>
    <xf numFmtId="169" fontId="132" fillId="0" borderId="13" xfId="0" applyNumberFormat="1" applyFont="1" applyBorder="1" applyAlignment="1">
      <alignment vertical="center"/>
    </xf>
    <xf numFmtId="0" fontId="132" fillId="0" borderId="13" xfId="0" applyFont="1" applyBorder="1" applyAlignment="1">
      <alignment vertical="center"/>
    </xf>
    <xf numFmtId="169" fontId="133" fillId="0" borderId="10" xfId="0" applyNumberFormat="1" applyFont="1" applyBorder="1" applyAlignment="1">
      <alignment vertical="center"/>
    </xf>
    <xf numFmtId="0" fontId="147" fillId="0" borderId="0" xfId="0" applyFont="1" applyBorder="1" applyAlignment="1">
      <alignment horizontal="center" vertical="center"/>
    </xf>
    <xf numFmtId="0" fontId="132" fillId="0" borderId="0" xfId="0" applyFont="1" applyBorder="1" applyAlignment="1">
      <alignment/>
    </xf>
    <xf numFmtId="0" fontId="144" fillId="0" borderId="0" xfId="0" applyFont="1" applyBorder="1" applyAlignment="1">
      <alignment horizontal="left" vertical="center" indent="4"/>
    </xf>
    <xf numFmtId="169" fontId="132" fillId="0" borderId="0" xfId="0" applyNumberFormat="1" applyFont="1" applyBorder="1" applyAlignment="1">
      <alignment/>
    </xf>
    <xf numFmtId="0" fontId="132" fillId="0" borderId="0" xfId="0" applyFont="1" applyBorder="1" applyAlignment="1">
      <alignment vertical="center" wrapText="1"/>
    </xf>
    <xf numFmtId="0" fontId="132" fillId="0" borderId="0" xfId="0" applyFont="1" applyBorder="1" applyAlignment="1">
      <alignment wrapText="1"/>
    </xf>
    <xf numFmtId="0" fontId="133" fillId="0" borderId="0" xfId="0" applyFont="1" applyBorder="1" applyAlignment="1">
      <alignment vertical="center"/>
    </xf>
    <xf numFmtId="0" fontId="145" fillId="0" borderId="0" xfId="0" applyFont="1" applyBorder="1" applyAlignment="1">
      <alignment horizontal="center" vertical="center"/>
    </xf>
    <xf numFmtId="0" fontId="133" fillId="0" borderId="0" xfId="0" applyFont="1" applyBorder="1" applyAlignment="1">
      <alignment horizontal="left" vertical="top"/>
    </xf>
    <xf numFmtId="0" fontId="132" fillId="0" borderId="0" xfId="0" applyFont="1" applyBorder="1" applyAlignment="1">
      <alignment horizontal="justify" vertical="top"/>
    </xf>
    <xf numFmtId="169" fontId="132" fillId="0" borderId="13" xfId="0" applyNumberFormat="1" applyFont="1" applyBorder="1" applyAlignment="1">
      <alignment/>
    </xf>
    <xf numFmtId="192" fontId="148" fillId="0" borderId="0" xfId="0" applyNumberFormat="1" applyFont="1" applyFill="1" applyBorder="1" applyAlignment="1">
      <alignment horizontal="left" vertical="top" wrapText="1"/>
    </xf>
    <xf numFmtId="0" fontId="8" fillId="0" borderId="0" xfId="56" applyFont="1" applyFill="1">
      <alignment/>
      <protection/>
    </xf>
    <xf numFmtId="0" fontId="6" fillId="0" borderId="0" xfId="56" applyFont="1" applyFill="1">
      <alignment/>
      <protection/>
    </xf>
    <xf numFmtId="0" fontId="116" fillId="0" borderId="0" xfId="0" applyFont="1" applyAlignment="1">
      <alignment/>
    </xf>
    <xf numFmtId="39" fontId="0" fillId="0" borderId="0" xfId="0" applyNumberFormat="1" applyFont="1" applyAlignment="1">
      <alignment/>
    </xf>
    <xf numFmtId="0" fontId="116" fillId="0" borderId="23" xfId="0" applyFont="1" applyBorder="1" applyAlignment="1">
      <alignment/>
    </xf>
    <xf numFmtId="4" fontId="116" fillId="0" borderId="23" xfId="0" applyNumberFormat="1" applyFont="1" applyBorder="1" applyAlignment="1">
      <alignment/>
    </xf>
    <xf numFmtId="0" fontId="147" fillId="0" borderId="0" xfId="0" applyFont="1" applyBorder="1" applyAlignment="1">
      <alignment horizontal="center" vertical="center"/>
    </xf>
    <xf numFmtId="171" fontId="119" fillId="0" borderId="0" xfId="0" applyNumberFormat="1" applyFont="1" applyFill="1" applyAlignment="1">
      <alignment/>
    </xf>
    <xf numFmtId="171" fontId="119" fillId="0" borderId="0" xfId="0" applyNumberFormat="1" applyFont="1" applyFill="1" applyBorder="1" applyAlignment="1">
      <alignment/>
    </xf>
    <xf numFmtId="171" fontId="119" fillId="0" borderId="13" xfId="0" applyNumberFormat="1" applyFont="1" applyFill="1" applyBorder="1" applyAlignment="1">
      <alignment/>
    </xf>
    <xf numFmtId="0" fontId="132" fillId="0" borderId="0" xfId="0" applyFont="1" applyBorder="1" applyAlignment="1">
      <alignment horizontal="left" vertical="center"/>
    </xf>
    <xf numFmtId="4" fontId="12" fillId="0" borderId="0" xfId="49" applyNumberFormat="1" applyFont="1" applyFill="1" applyBorder="1" applyAlignment="1">
      <alignment/>
    </xf>
    <xf numFmtId="203" fontId="132" fillId="0" borderId="0" xfId="0" applyNumberFormat="1" applyFont="1" applyFill="1" applyBorder="1" applyAlignment="1">
      <alignment vertical="center"/>
    </xf>
    <xf numFmtId="169" fontId="0" fillId="0" borderId="0" xfId="0" applyNumberFormat="1" applyAlignment="1">
      <alignment vertical="center"/>
    </xf>
    <xf numFmtId="169" fontId="0" fillId="0" borderId="0" xfId="0" applyNumberFormat="1" applyAlignment="1">
      <alignment/>
    </xf>
    <xf numFmtId="0" fontId="4" fillId="0" borderId="0" xfId="57" applyFont="1" applyAlignment="1">
      <alignment/>
      <protection/>
    </xf>
    <xf numFmtId="181" fontId="99" fillId="0" borderId="0" xfId="0" applyNumberFormat="1" applyFont="1" applyFill="1" applyAlignment="1">
      <alignment/>
    </xf>
    <xf numFmtId="199" fontId="99" fillId="0" borderId="0" xfId="0" applyNumberFormat="1" applyFont="1" applyFill="1" applyAlignment="1">
      <alignment/>
    </xf>
    <xf numFmtId="200" fontId="99" fillId="0" borderId="0" xfId="0" applyNumberFormat="1" applyFont="1" applyFill="1" applyAlignment="1">
      <alignment/>
    </xf>
    <xf numFmtId="4" fontId="99" fillId="0" borderId="0" xfId="0" applyNumberFormat="1" applyFont="1" applyFill="1" applyAlignment="1">
      <alignment/>
    </xf>
    <xf numFmtId="0" fontId="0" fillId="0" borderId="24" xfId="0" applyBorder="1" applyAlignment="1">
      <alignment/>
    </xf>
    <xf numFmtId="0" fontId="0" fillId="0" borderId="25" xfId="0" applyBorder="1" applyAlignment="1">
      <alignment/>
    </xf>
    <xf numFmtId="39" fontId="116" fillId="0" borderId="26" xfId="0" applyNumberFormat="1" applyFont="1" applyBorder="1" applyAlignment="1">
      <alignment/>
    </xf>
    <xf numFmtId="9" fontId="132" fillId="0" borderId="0" xfId="61" applyFont="1" applyAlignment="1">
      <alignment vertical="center"/>
    </xf>
    <xf numFmtId="9" fontId="0" fillId="0" borderId="0" xfId="61" applyFont="1" applyAlignment="1">
      <alignment/>
    </xf>
    <xf numFmtId="0" fontId="0" fillId="0" borderId="25" xfId="0" applyBorder="1" applyAlignment="1">
      <alignment wrapText="1"/>
    </xf>
    <xf numFmtId="0" fontId="6" fillId="35" borderId="0" xfId="56" applyFont="1" applyFill="1">
      <alignment/>
      <protection/>
    </xf>
    <xf numFmtId="0" fontId="118" fillId="34" borderId="0" xfId="56" applyFont="1" applyFill="1">
      <alignment/>
      <protection/>
    </xf>
    <xf numFmtId="0" fontId="6" fillId="34" borderId="0" xfId="49" applyFont="1" applyFill="1" applyAlignment="1">
      <alignment/>
    </xf>
    <xf numFmtId="0" fontId="132" fillId="34" borderId="0" xfId="0" applyFont="1" applyFill="1" applyBorder="1" applyAlignment="1">
      <alignment vertical="center"/>
    </xf>
    <xf numFmtId="0" fontId="132" fillId="34" borderId="0" xfId="0" applyFont="1" applyFill="1" applyBorder="1" applyAlignment="1">
      <alignment vertical="center" wrapText="1"/>
    </xf>
    <xf numFmtId="0" fontId="132" fillId="0" borderId="0" xfId="0" applyFont="1" applyBorder="1" applyAlignment="1">
      <alignment horizontal="left" vertical="center"/>
    </xf>
    <xf numFmtId="0" fontId="133" fillId="0" borderId="0" xfId="0" applyFont="1" applyFill="1" applyBorder="1" applyAlignment="1">
      <alignment horizontal="center" vertical="center" wrapText="1"/>
    </xf>
    <xf numFmtId="0" fontId="133" fillId="0" borderId="0" xfId="0" applyFont="1" applyFill="1" applyBorder="1" applyAlignment="1">
      <alignment horizontal="center" vertical="center"/>
    </xf>
    <xf numFmtId="0" fontId="133" fillId="0" borderId="0" xfId="0" applyFont="1" applyFill="1" applyBorder="1" applyAlignment="1">
      <alignment horizontal="center"/>
    </xf>
    <xf numFmtId="0" fontId="133" fillId="0" borderId="0" xfId="0" applyFont="1" applyFill="1" applyBorder="1" applyAlignment="1">
      <alignment vertical="center"/>
    </xf>
    <xf numFmtId="0" fontId="132" fillId="0" borderId="0" xfId="0" applyFont="1" applyFill="1" applyBorder="1" applyAlignment="1">
      <alignment vertical="center" wrapText="1"/>
    </xf>
    <xf numFmtId="169" fontId="30" fillId="0" borderId="0" xfId="0" applyNumberFormat="1" applyFont="1" applyFill="1" applyBorder="1" applyAlignment="1">
      <alignment vertical="center"/>
    </xf>
    <xf numFmtId="0" fontId="24" fillId="0" borderId="0" xfId="0" applyFont="1" applyFill="1" applyAlignment="1">
      <alignment vertical="center"/>
    </xf>
    <xf numFmtId="4" fontId="24" fillId="0" borderId="0" xfId="0" applyNumberFormat="1" applyFont="1" applyFill="1" applyAlignment="1">
      <alignment vertical="center"/>
    </xf>
    <xf numFmtId="0" fontId="0" fillId="0" borderId="0" xfId="0" applyFill="1" applyAlignment="1">
      <alignment vertical="center"/>
    </xf>
    <xf numFmtId="0" fontId="32" fillId="0" borderId="0" xfId="0" applyFont="1" applyFill="1" applyAlignment="1">
      <alignment horizontal="left" vertical="center"/>
    </xf>
    <xf numFmtId="0" fontId="7" fillId="0" borderId="0" xfId="56" applyFont="1" applyFill="1" applyAlignment="1">
      <alignment horizontal="left"/>
      <protection/>
    </xf>
    <xf numFmtId="0" fontId="26" fillId="0" borderId="0" xfId="57" applyFont="1" applyFill="1" applyAlignment="1">
      <alignment horizontal="left"/>
      <protection/>
    </xf>
    <xf numFmtId="178" fontId="26" fillId="0" borderId="0" xfId="51" applyFont="1" applyFill="1" applyAlignment="1">
      <alignment horizontal="left"/>
    </xf>
    <xf numFmtId="0" fontId="149" fillId="0" borderId="0" xfId="0" applyFont="1" applyFill="1" applyAlignment="1">
      <alignment horizontal="left"/>
    </xf>
    <xf numFmtId="0" fontId="118" fillId="0" borderId="0" xfId="0" applyFont="1" applyFill="1" applyAlignment="1">
      <alignment/>
    </xf>
    <xf numFmtId="178" fontId="2" fillId="0" borderId="0" xfId="51" applyFont="1" applyFill="1" applyBorder="1" applyAlignment="1">
      <alignment horizontal="right"/>
    </xf>
    <xf numFmtId="0" fontId="119" fillId="0" borderId="0" xfId="0" applyFont="1" applyFill="1" applyAlignment="1">
      <alignment/>
    </xf>
    <xf numFmtId="0" fontId="13" fillId="0" borderId="0" xfId="57" applyFont="1" applyFill="1" applyAlignment="1">
      <alignment horizontal="left"/>
      <protection/>
    </xf>
    <xf numFmtId="39" fontId="13" fillId="0" borderId="0" xfId="57" applyNumberFormat="1" applyFont="1" applyFill="1" applyAlignment="1">
      <alignment horizontal="left"/>
      <protection/>
    </xf>
    <xf numFmtId="178" fontId="13" fillId="0" borderId="0" xfId="51" applyFont="1" applyFill="1" applyAlignment="1">
      <alignment horizontal="left"/>
    </xf>
    <xf numFmtId="0" fontId="119" fillId="0" borderId="0" xfId="0" applyFont="1" applyFill="1" applyAlignment="1">
      <alignment horizontal="left"/>
    </xf>
    <xf numFmtId="0" fontId="150" fillId="0" borderId="0" xfId="0" applyFont="1" applyFill="1" applyAlignment="1">
      <alignment/>
    </xf>
    <xf numFmtId="0" fontId="151" fillId="0" borderId="0" xfId="0" applyFont="1" applyFill="1" applyAlignment="1">
      <alignment vertical="center"/>
    </xf>
    <xf numFmtId="0" fontId="25" fillId="0" borderId="0" xfId="57" applyFont="1" applyFill="1" applyAlignment="1">
      <alignment horizontal="left"/>
      <protection/>
    </xf>
    <xf numFmtId="178" fontId="25" fillId="0" borderId="0" xfId="51" applyFont="1" applyFill="1" applyAlignment="1">
      <alignment horizontal="left"/>
    </xf>
    <xf numFmtId="0" fontId="152" fillId="0" borderId="0" xfId="0" applyFont="1" applyFill="1" applyAlignment="1">
      <alignment horizontal="left"/>
    </xf>
    <xf numFmtId="0" fontId="150" fillId="0" borderId="0" xfId="0" applyFont="1" applyFill="1" applyAlignment="1">
      <alignment horizontal="left"/>
    </xf>
    <xf numFmtId="0" fontId="0" fillId="0" borderId="0" xfId="0" applyFont="1" applyFill="1" applyAlignment="1">
      <alignment/>
    </xf>
    <xf numFmtId="0" fontId="116" fillId="0" borderId="0" xfId="0" applyFont="1" applyAlignment="1">
      <alignment horizontal="left"/>
    </xf>
    <xf numFmtId="0" fontId="90" fillId="0" borderId="0" xfId="0" applyFont="1" applyFill="1" applyAlignment="1">
      <alignment/>
    </xf>
    <xf numFmtId="171" fontId="13" fillId="0" borderId="0" xfId="0" applyNumberFormat="1" applyFont="1" applyFill="1" applyAlignment="1">
      <alignment/>
    </xf>
    <xf numFmtId="181" fontId="99" fillId="34" borderId="0" xfId="0" applyNumberFormat="1" applyFont="1" applyFill="1" applyAlignment="1">
      <alignment/>
    </xf>
    <xf numFmtId="0" fontId="7" fillId="0" borderId="0" xfId="56" applyFont="1" applyFill="1">
      <alignment/>
      <protection/>
    </xf>
    <xf numFmtId="0" fontId="7" fillId="0" borderId="0" xfId="56" applyFont="1" applyFill="1" applyAlignment="1">
      <alignment horizontal="center"/>
      <protection/>
    </xf>
    <xf numFmtId="39" fontId="24" fillId="0" borderId="0" xfId="56" applyNumberFormat="1" applyFont="1" applyFill="1">
      <alignment/>
      <protection/>
    </xf>
    <xf numFmtId="39" fontId="9" fillId="0" borderId="10" xfId="56" applyNumberFormat="1" applyFont="1" applyFill="1" applyBorder="1" applyAlignment="1">
      <alignment horizontal="right"/>
      <protection/>
    </xf>
    <xf numFmtId="39" fontId="0" fillId="0" borderId="0" xfId="0" applyNumberFormat="1" applyFont="1" applyFill="1" applyAlignment="1">
      <alignment/>
    </xf>
    <xf numFmtId="0" fontId="0" fillId="0" borderId="0" xfId="0" applyAlignment="1">
      <alignment/>
    </xf>
    <xf numFmtId="0" fontId="0" fillId="0" borderId="0" xfId="0" applyFill="1" applyAlignment="1">
      <alignment/>
    </xf>
    <xf numFmtId="39" fontId="0" fillId="0" borderId="0" xfId="0" applyNumberFormat="1" applyAlignment="1">
      <alignment/>
    </xf>
    <xf numFmtId="39" fontId="0" fillId="0" borderId="0" xfId="0" applyNumberFormat="1" applyFill="1" applyAlignment="1">
      <alignment/>
    </xf>
    <xf numFmtId="39" fontId="119" fillId="0" borderId="0" xfId="0" applyNumberFormat="1" applyFont="1" applyFill="1" applyAlignment="1">
      <alignment/>
    </xf>
    <xf numFmtId="39" fontId="0" fillId="0" borderId="0" xfId="0" applyNumberFormat="1" applyFont="1" applyAlignment="1">
      <alignment/>
    </xf>
    <xf numFmtId="0" fontId="121" fillId="0" borderId="0" xfId="0" applyFont="1" applyFill="1" applyAlignment="1">
      <alignment/>
    </xf>
    <xf numFmtId="0" fontId="99" fillId="0" borderId="0" xfId="0" applyFont="1" applyFill="1" applyAlignment="1">
      <alignment/>
    </xf>
    <xf numFmtId="169" fontId="132" fillId="0" borderId="0" xfId="0" applyNumberFormat="1" applyFont="1" applyFill="1" applyAlignment="1">
      <alignment vertical="center"/>
    </xf>
    <xf numFmtId="0" fontId="0" fillId="0" borderId="23" xfId="0" applyBorder="1" applyAlignment="1">
      <alignment/>
    </xf>
    <xf numFmtId="39" fontId="0" fillId="0" borderId="23" xfId="0" applyNumberFormat="1" applyBorder="1" applyAlignment="1">
      <alignment/>
    </xf>
    <xf numFmtId="169" fontId="132" fillId="0" borderId="0" xfId="0" applyNumberFormat="1" applyFont="1" applyFill="1" applyBorder="1" applyAlignment="1">
      <alignment vertical="center"/>
    </xf>
    <xf numFmtId="169" fontId="132" fillId="0" borderId="13" xfId="0" applyNumberFormat="1" applyFont="1" applyFill="1" applyBorder="1" applyAlignment="1">
      <alignment vertical="center"/>
    </xf>
    <xf numFmtId="14" fontId="0" fillId="0" borderId="23" xfId="0" applyNumberFormat="1" applyBorder="1" applyAlignment="1">
      <alignment/>
    </xf>
    <xf numFmtId="0" fontId="0" fillId="0" borderId="23" xfId="0" applyFill="1" applyBorder="1" applyAlignment="1">
      <alignment/>
    </xf>
    <xf numFmtId="171" fontId="119" fillId="0" borderId="0" xfId="0" applyNumberFormat="1" applyFont="1" applyFill="1" applyAlignment="1">
      <alignment/>
    </xf>
    <xf numFmtId="0" fontId="7" fillId="0" borderId="13" xfId="56" applyFont="1" applyFill="1" applyBorder="1" applyAlignment="1">
      <alignment horizontal="center"/>
      <protection/>
    </xf>
    <xf numFmtId="169" fontId="153" fillId="0" borderId="0" xfId="0" applyNumberFormat="1" applyFont="1" applyFill="1" applyBorder="1" applyAlignment="1">
      <alignment vertical="center"/>
    </xf>
    <xf numFmtId="185" fontId="99" fillId="0" borderId="0" xfId="0" applyNumberFormat="1" applyFont="1" applyFill="1" applyAlignment="1">
      <alignment/>
    </xf>
    <xf numFmtId="0" fontId="140" fillId="34" borderId="0" xfId="0" applyFont="1" applyFill="1" applyAlignment="1">
      <alignment/>
    </xf>
    <xf numFmtId="189" fontId="99" fillId="34" borderId="0" xfId="0" applyNumberFormat="1" applyFont="1" applyFill="1" applyAlignment="1">
      <alignment/>
    </xf>
    <xf numFmtId="205" fontId="99" fillId="34" borderId="0" xfId="0" applyNumberFormat="1" applyFont="1" applyFill="1" applyAlignment="1">
      <alignment/>
    </xf>
    <xf numFmtId="39" fontId="99" fillId="34" borderId="0" xfId="0" applyNumberFormat="1" applyFont="1" applyFill="1" applyAlignment="1">
      <alignment/>
    </xf>
    <xf numFmtId="4" fontId="99" fillId="34" borderId="0" xfId="0" applyNumberFormat="1" applyFont="1" applyFill="1" applyAlignment="1">
      <alignment/>
    </xf>
    <xf numFmtId="169" fontId="132" fillId="34" borderId="0" xfId="0" applyNumberFormat="1" applyFont="1" applyFill="1" applyBorder="1" applyAlignment="1">
      <alignment/>
    </xf>
    <xf numFmtId="37" fontId="132" fillId="0" borderId="0" xfId="0" applyNumberFormat="1" applyFont="1" applyFill="1" applyBorder="1" applyAlignment="1">
      <alignment/>
    </xf>
    <xf numFmtId="37" fontId="132" fillId="0" borderId="0" xfId="0" applyNumberFormat="1" applyFont="1" applyFill="1" applyBorder="1" applyAlignment="1">
      <alignment horizontal="left" vertical="center" indent="5"/>
    </xf>
    <xf numFmtId="37" fontId="132" fillId="0" borderId="0" xfId="0" applyNumberFormat="1" applyFont="1" applyFill="1" applyBorder="1" applyAlignment="1">
      <alignment vertical="center"/>
    </xf>
    <xf numFmtId="37" fontId="132" fillId="0" borderId="13" xfId="0" applyNumberFormat="1" applyFont="1" applyFill="1" applyBorder="1" applyAlignment="1">
      <alignment/>
    </xf>
    <xf numFmtId="37" fontId="132" fillId="0" borderId="13" xfId="0" applyNumberFormat="1" applyFont="1" applyFill="1" applyBorder="1" applyAlignment="1">
      <alignment vertical="center"/>
    </xf>
    <xf numFmtId="37" fontId="133" fillId="0" borderId="11" xfId="0" applyNumberFormat="1" applyFont="1" applyFill="1" applyBorder="1" applyAlignment="1">
      <alignment/>
    </xf>
    <xf numFmtId="37" fontId="133" fillId="0" borderId="11" xfId="0" applyNumberFormat="1" applyFont="1" applyFill="1" applyBorder="1" applyAlignment="1">
      <alignment horizontal="left" vertical="center" indent="5"/>
    </xf>
    <xf numFmtId="37" fontId="133" fillId="0" borderId="11" xfId="0" applyNumberFormat="1" applyFont="1" applyFill="1" applyBorder="1" applyAlignment="1">
      <alignment vertical="center"/>
    </xf>
    <xf numFmtId="37" fontId="132" fillId="0" borderId="0" xfId="0" applyNumberFormat="1" applyFont="1" applyFill="1" applyBorder="1" applyAlignment="1">
      <alignment/>
    </xf>
    <xf numFmtId="37" fontId="132" fillId="0" borderId="0" xfId="0" applyNumberFormat="1" applyFont="1" applyBorder="1" applyAlignment="1">
      <alignment/>
    </xf>
    <xf numFmtId="37" fontId="132" fillId="0" borderId="0" xfId="0" applyNumberFormat="1" applyFont="1" applyBorder="1" applyAlignment="1">
      <alignment horizontal="left" vertical="center" indent="5"/>
    </xf>
    <xf numFmtId="37" fontId="132" fillId="0" borderId="0" xfId="0" applyNumberFormat="1" applyFont="1" applyBorder="1" applyAlignment="1">
      <alignment vertical="center"/>
    </xf>
    <xf numFmtId="37" fontId="132" fillId="0" borderId="13" xfId="0" applyNumberFormat="1" applyFont="1" applyBorder="1" applyAlignment="1">
      <alignment/>
    </xf>
    <xf numFmtId="37" fontId="146" fillId="0" borderId="11" xfId="0" applyNumberFormat="1" applyFont="1" applyFill="1" applyBorder="1" applyAlignment="1">
      <alignment horizontal="left" vertical="center" indent="4"/>
    </xf>
    <xf numFmtId="37" fontId="132" fillId="0" borderId="11" xfId="0" applyNumberFormat="1" applyFont="1" applyFill="1" applyBorder="1" applyAlignment="1">
      <alignment/>
    </xf>
    <xf numFmtId="37" fontId="132" fillId="0" borderId="11" xfId="0" applyNumberFormat="1" applyFont="1" applyFill="1" applyBorder="1" applyAlignment="1">
      <alignment vertical="center"/>
    </xf>
    <xf numFmtId="37" fontId="132" fillId="0" borderId="0" xfId="0" applyNumberFormat="1" applyFont="1" applyBorder="1" applyAlignment="1">
      <alignment/>
    </xf>
    <xf numFmtId="0" fontId="30" fillId="0" borderId="0" xfId="0" applyFont="1" applyFill="1" applyBorder="1" applyAlignment="1">
      <alignment vertical="center"/>
    </xf>
    <xf numFmtId="0" fontId="9" fillId="0" borderId="0" xfId="56" applyFont="1" applyFill="1" applyBorder="1">
      <alignment/>
      <protection/>
    </xf>
    <xf numFmtId="39" fontId="9" fillId="0" borderId="0" xfId="56" applyNumberFormat="1" applyFont="1" applyFill="1" applyBorder="1" applyAlignment="1">
      <alignment horizontal="right"/>
      <protection/>
    </xf>
    <xf numFmtId="169" fontId="132" fillId="0" borderId="13" xfId="0" applyNumberFormat="1" applyFont="1" applyFill="1" applyBorder="1" applyAlignment="1">
      <alignment/>
    </xf>
    <xf numFmtId="0" fontId="29" fillId="0" borderId="0" xfId="52" applyFont="1" applyFill="1" applyBorder="1" applyAlignment="1">
      <alignment horizontal="center" vertical="top" wrapText="1"/>
    </xf>
    <xf numFmtId="0" fontId="112" fillId="0" borderId="0" xfId="49" applyFont="1" applyFill="1" applyAlignment="1">
      <alignment/>
    </xf>
    <xf numFmtId="0" fontId="154" fillId="0" borderId="0" xfId="0" applyFont="1" applyFill="1" applyAlignment="1">
      <alignment horizontal="center"/>
    </xf>
    <xf numFmtId="0" fontId="112" fillId="0" borderId="0" xfId="0" applyFont="1" applyFill="1" applyAlignment="1">
      <alignment horizontal="center" wrapText="1"/>
    </xf>
    <xf numFmtId="0" fontId="112" fillId="0" borderId="0" xfId="0" applyFont="1" applyFill="1" applyAlignment="1">
      <alignment horizontal="center"/>
    </xf>
    <xf numFmtId="39" fontId="112" fillId="0" borderId="0" xfId="0" applyNumberFormat="1" applyFont="1" applyFill="1" applyAlignment="1">
      <alignment/>
    </xf>
    <xf numFmtId="0" fontId="154" fillId="0" borderId="0" xfId="0" applyFont="1" applyFill="1" applyAlignment="1">
      <alignment horizontal="center" wrapText="1"/>
    </xf>
    <xf numFmtId="180" fontId="112" fillId="0" borderId="0" xfId="0" applyNumberFormat="1" applyFont="1" applyFill="1" applyAlignment="1">
      <alignment/>
    </xf>
    <xf numFmtId="0" fontId="14" fillId="0" borderId="0" xfId="56" applyFont="1" applyFill="1">
      <alignment/>
      <protection/>
    </xf>
    <xf numFmtId="0" fontId="14" fillId="34" borderId="0" xfId="56" applyFont="1" applyFill="1">
      <alignment/>
      <protection/>
    </xf>
    <xf numFmtId="0" fontId="14" fillId="0" borderId="0" xfId="56" applyFont="1">
      <alignment/>
      <protection/>
    </xf>
    <xf numFmtId="0" fontId="155" fillId="34" borderId="0" xfId="56" applyFont="1" applyFill="1">
      <alignment/>
      <protection/>
    </xf>
    <xf numFmtId="0" fontId="14" fillId="34" borderId="0" xfId="49" applyFont="1" applyFill="1" applyAlignment="1">
      <alignment/>
    </xf>
    <xf numFmtId="0" fontId="27" fillId="0" borderId="0" xfId="56" applyFont="1">
      <alignment/>
      <protection/>
    </xf>
    <xf numFmtId="0" fontId="12" fillId="0" borderId="0" xfId="56" applyFont="1">
      <alignment/>
      <protection/>
    </xf>
    <xf numFmtId="0" fontId="27" fillId="0" borderId="0" xfId="56" applyFont="1" applyFill="1">
      <alignment/>
      <protection/>
    </xf>
    <xf numFmtId="0" fontId="154" fillId="0" borderId="0" xfId="0" applyFont="1" applyFill="1" applyAlignment="1">
      <alignment horizontal="center"/>
    </xf>
    <xf numFmtId="39" fontId="118" fillId="0" borderId="13" xfId="0" applyNumberFormat="1" applyFont="1" applyBorder="1" applyAlignment="1">
      <alignment/>
    </xf>
    <xf numFmtId="171" fontId="10" fillId="0" borderId="15" xfId="56" applyNumberFormat="1" applyFont="1" applyBorder="1">
      <alignment/>
      <protection/>
    </xf>
    <xf numFmtId="9" fontId="116" fillId="0" borderId="22" xfId="61" applyFont="1" applyBorder="1" applyAlignment="1">
      <alignment/>
    </xf>
    <xf numFmtId="0" fontId="147" fillId="0" borderId="0" xfId="0" applyFont="1" applyBorder="1" applyAlignment="1">
      <alignment horizontal="center" vertical="center"/>
    </xf>
    <xf numFmtId="0" fontId="116" fillId="0" borderId="13" xfId="0" applyFont="1" applyFill="1" applyBorder="1" applyAlignment="1">
      <alignment horizontal="right"/>
    </xf>
    <xf numFmtId="49" fontId="13" fillId="0" borderId="0" xfId="0" applyNumberFormat="1" applyFont="1" applyAlignment="1">
      <alignment vertical="center"/>
    </xf>
    <xf numFmtId="171" fontId="99" fillId="0" borderId="0" xfId="0" applyNumberFormat="1" applyFont="1" applyFill="1" applyAlignment="1">
      <alignment/>
    </xf>
    <xf numFmtId="0" fontId="11" fillId="0" borderId="0" xfId="0" applyFont="1" applyAlignment="1">
      <alignment horizontal="left"/>
    </xf>
    <xf numFmtId="4" fontId="13" fillId="0" borderId="0" xfId="0" applyNumberFormat="1" applyFont="1" applyAlignment="1">
      <alignment/>
    </xf>
    <xf numFmtId="49" fontId="125" fillId="0" borderId="0" xfId="0" applyNumberFormat="1" applyFont="1" applyFill="1" applyAlignment="1">
      <alignment vertical="center"/>
    </xf>
    <xf numFmtId="0" fontId="116" fillId="0" borderId="0" xfId="0" applyFont="1" applyFill="1" applyBorder="1" applyAlignment="1">
      <alignment horizontal="right"/>
    </xf>
    <xf numFmtId="0" fontId="147" fillId="0" borderId="0" xfId="0" applyFont="1" applyBorder="1" applyAlignment="1">
      <alignment horizontal="center" vertical="center"/>
    </xf>
    <xf numFmtId="0" fontId="116" fillId="0" borderId="0" xfId="0" applyFont="1" applyFill="1" applyBorder="1" applyAlignment="1">
      <alignment/>
    </xf>
    <xf numFmtId="0" fontId="0" fillId="0" borderId="21" xfId="0" applyFill="1" applyBorder="1" applyAlignment="1">
      <alignment/>
    </xf>
    <xf numFmtId="0" fontId="24" fillId="0" borderId="0" xfId="0" applyFont="1" applyFill="1" applyBorder="1" applyAlignment="1">
      <alignment/>
    </xf>
    <xf numFmtId="0" fontId="121" fillId="0" borderId="0" xfId="0" applyFont="1" applyFill="1" applyBorder="1" applyAlignment="1">
      <alignment/>
    </xf>
    <xf numFmtId="0" fontId="7" fillId="0" borderId="0" xfId="0" applyFont="1" applyAlignment="1">
      <alignment/>
    </xf>
    <xf numFmtId="4" fontId="12" fillId="0" borderId="10" xfId="0" applyNumberFormat="1" applyFont="1" applyBorder="1" applyAlignment="1">
      <alignment/>
    </xf>
    <xf numFmtId="39" fontId="12" fillId="0" borderId="27" xfId="0" applyNumberFormat="1" applyFont="1" applyBorder="1" applyAlignment="1">
      <alignment/>
    </xf>
    <xf numFmtId="39" fontId="2" fillId="0" borderId="0" xfId="0" applyNumberFormat="1" applyFont="1" applyFill="1" applyBorder="1" applyAlignment="1">
      <alignment/>
    </xf>
    <xf numFmtId="0" fontId="8" fillId="0" borderId="0" xfId="0" applyFont="1" applyAlignment="1">
      <alignment/>
    </xf>
    <xf numFmtId="0" fontId="8" fillId="0" borderId="28" xfId="0" applyFont="1" applyBorder="1" applyAlignment="1">
      <alignment/>
    </xf>
    <xf numFmtId="0" fontId="6" fillId="0" borderId="21" xfId="0" applyFont="1" applyBorder="1" applyAlignment="1">
      <alignment/>
    </xf>
    <xf numFmtId="0" fontId="8" fillId="0" borderId="29" xfId="0" applyFont="1" applyBorder="1" applyAlignment="1">
      <alignment/>
    </xf>
    <xf numFmtId="0" fontId="8" fillId="0" borderId="30" xfId="0" applyFont="1" applyBorder="1" applyAlignment="1">
      <alignment/>
    </xf>
    <xf numFmtId="0" fontId="6" fillId="0" borderId="16" xfId="0" applyFont="1" applyBorder="1" applyAlignment="1">
      <alignment/>
    </xf>
    <xf numFmtId="0" fontId="12" fillId="0" borderId="30" xfId="0" applyFont="1" applyBorder="1" applyAlignment="1">
      <alignment/>
    </xf>
    <xf numFmtId="0" fontId="6" fillId="0" borderId="21" xfId="0" applyFont="1" applyFill="1" applyBorder="1" applyAlignment="1">
      <alignment/>
    </xf>
    <xf numFmtId="0" fontId="6" fillId="0" borderId="21" xfId="49" applyFont="1" applyFill="1" applyBorder="1" applyAlignment="1">
      <alignment/>
    </xf>
    <xf numFmtId="0" fontId="6" fillId="0" borderId="0" xfId="0" applyFont="1" applyBorder="1" applyAlignment="1">
      <alignment/>
    </xf>
    <xf numFmtId="0" fontId="6" fillId="0" borderId="16" xfId="0" applyFont="1" applyFill="1" applyBorder="1" applyAlignment="1">
      <alignment/>
    </xf>
    <xf numFmtId="0" fontId="6" fillId="0" borderId="16" xfId="49" applyFont="1" applyFill="1" applyBorder="1" applyAlignment="1">
      <alignment/>
    </xf>
    <xf numFmtId="179" fontId="99" fillId="0" borderId="0" xfId="0" applyNumberFormat="1" applyFont="1" applyFill="1" applyAlignment="1">
      <alignment/>
    </xf>
    <xf numFmtId="189" fontId="99" fillId="0" borderId="0" xfId="0" applyNumberFormat="1" applyFont="1" applyFill="1" applyAlignment="1">
      <alignment/>
    </xf>
    <xf numFmtId="39" fontId="130" fillId="0" borderId="0" xfId="0" applyNumberFormat="1" applyFont="1" applyFill="1" applyAlignment="1">
      <alignment/>
    </xf>
    <xf numFmtId="190" fontId="99" fillId="0" borderId="0" xfId="0" applyNumberFormat="1" applyFont="1" applyFill="1" applyAlignment="1">
      <alignment/>
    </xf>
    <xf numFmtId="0" fontId="153" fillId="0" borderId="0" xfId="0" applyFont="1" applyAlignment="1">
      <alignment vertical="center"/>
    </xf>
    <xf numFmtId="169" fontId="153" fillId="0" borderId="0" xfId="0" applyNumberFormat="1" applyFont="1" applyAlignment="1">
      <alignment vertical="center"/>
    </xf>
    <xf numFmtId="0" fontId="147" fillId="0" borderId="0" xfId="0" applyFont="1" applyAlignment="1">
      <alignment vertical="center"/>
    </xf>
    <xf numFmtId="0" fontId="116" fillId="0" borderId="0" xfId="0" applyFont="1" applyFill="1" applyAlignment="1">
      <alignment horizontal="left"/>
    </xf>
    <xf numFmtId="0" fontId="116" fillId="0" borderId="28" xfId="0" applyFont="1" applyFill="1" applyBorder="1" applyAlignment="1">
      <alignment horizontal="center"/>
    </xf>
    <xf numFmtId="0" fontId="116" fillId="0" borderId="21" xfId="0" applyFont="1" applyBorder="1" applyAlignment="1">
      <alignment horizontal="center"/>
    </xf>
    <xf numFmtId="0" fontId="116" fillId="0" borderId="31" xfId="0" applyFont="1" applyBorder="1" applyAlignment="1">
      <alignment horizontal="center"/>
    </xf>
    <xf numFmtId="0" fontId="116" fillId="0" borderId="29" xfId="0" applyFont="1" applyBorder="1" applyAlignment="1">
      <alignment/>
    </xf>
    <xf numFmtId="0" fontId="0" fillId="0" borderId="29" xfId="0" applyBorder="1" applyAlignment="1">
      <alignment/>
    </xf>
    <xf numFmtId="0" fontId="116" fillId="0" borderId="29" xfId="0" applyFont="1" applyFill="1" applyBorder="1" applyAlignment="1">
      <alignment/>
    </xf>
    <xf numFmtId="0" fontId="116" fillId="0" borderId="30" xfId="0" applyFont="1" applyBorder="1" applyAlignment="1">
      <alignment wrapText="1"/>
    </xf>
    <xf numFmtId="4" fontId="0" fillId="0" borderId="0" xfId="0" applyNumberFormat="1" applyBorder="1" applyAlignment="1">
      <alignment/>
    </xf>
    <xf numFmtId="0" fontId="116" fillId="0" borderId="28" xfId="0" applyFont="1" applyBorder="1" applyAlignment="1">
      <alignment horizontal="center"/>
    </xf>
    <xf numFmtId="4" fontId="0" fillId="0" borderId="32" xfId="0" applyNumberFormat="1" applyBorder="1" applyAlignment="1">
      <alignment/>
    </xf>
    <xf numFmtId="0" fontId="116" fillId="0" borderId="29" xfId="0" applyFont="1" applyBorder="1" applyAlignment="1">
      <alignment wrapText="1"/>
    </xf>
    <xf numFmtId="0" fontId="132" fillId="0" borderId="0" xfId="0" applyFont="1" applyFill="1" applyBorder="1" applyAlignment="1">
      <alignment horizontal="left" vertical="center"/>
    </xf>
    <xf numFmtId="0" fontId="119" fillId="0" borderId="0" xfId="0" applyFont="1" applyAlignment="1">
      <alignment vertical="center"/>
    </xf>
    <xf numFmtId="0" fontId="7" fillId="0" borderId="0" xfId="56" applyFont="1" applyBorder="1" applyAlignment="1">
      <alignment horizontal="center"/>
      <protection/>
    </xf>
    <xf numFmtId="210" fontId="132" fillId="0" borderId="0" xfId="0" applyNumberFormat="1" applyFont="1" applyFill="1" applyBorder="1" applyAlignment="1">
      <alignment vertical="center"/>
    </xf>
    <xf numFmtId="210" fontId="132" fillId="0" borderId="13" xfId="0" applyNumberFormat="1" applyFont="1" applyFill="1" applyBorder="1" applyAlignment="1">
      <alignment vertical="center"/>
    </xf>
    <xf numFmtId="181" fontId="0" fillId="0" borderId="0" xfId="0" applyNumberFormat="1" applyBorder="1" applyAlignment="1">
      <alignment/>
    </xf>
    <xf numFmtId="181" fontId="99" fillId="0" borderId="0" xfId="56" applyNumberFormat="1" applyFont="1">
      <alignment/>
      <protection/>
    </xf>
    <xf numFmtId="0" fontId="156" fillId="0" borderId="0" xfId="0" applyFont="1" applyFill="1" applyAlignment="1">
      <alignment horizontal="left" vertical="top"/>
    </xf>
    <xf numFmtId="0" fontId="116" fillId="0" borderId="23" xfId="0" applyFont="1" applyFill="1" applyBorder="1" applyAlignment="1">
      <alignment horizontal="center"/>
    </xf>
    <xf numFmtId="183" fontId="116" fillId="0" borderId="23" xfId="0" applyNumberFormat="1" applyFont="1" applyFill="1" applyBorder="1" applyAlignment="1">
      <alignment horizontal="center"/>
    </xf>
    <xf numFmtId="197" fontId="121" fillId="0" borderId="23" xfId="0" applyNumberFormat="1" applyFont="1" applyFill="1" applyBorder="1" applyAlignment="1">
      <alignment/>
    </xf>
    <xf numFmtId="0" fontId="121" fillId="0" borderId="23" xfId="0" applyFont="1" applyFill="1" applyBorder="1" applyAlignment="1">
      <alignment/>
    </xf>
    <xf numFmtId="183" fontId="121" fillId="0" borderId="23" xfId="0" applyNumberFormat="1" applyFont="1" applyFill="1" applyBorder="1" applyAlignment="1">
      <alignment/>
    </xf>
    <xf numFmtId="183" fontId="121" fillId="0" borderId="23" xfId="0" applyNumberFormat="1" applyFont="1" applyFill="1" applyBorder="1" applyAlignment="1">
      <alignment wrapText="1"/>
    </xf>
    <xf numFmtId="14" fontId="121" fillId="0" borderId="23" xfId="0" applyNumberFormat="1" applyFont="1" applyFill="1" applyBorder="1" applyAlignment="1">
      <alignment/>
    </xf>
    <xf numFmtId="4" fontId="121" fillId="0" borderId="23" xfId="0" applyNumberFormat="1" applyFont="1" applyFill="1" applyBorder="1" applyAlignment="1">
      <alignment/>
    </xf>
    <xf numFmtId="14" fontId="121" fillId="0" borderId="23" xfId="0" applyNumberFormat="1" applyFont="1" applyBorder="1" applyAlignment="1">
      <alignment horizontal="right"/>
    </xf>
    <xf numFmtId="0" fontId="121" fillId="0" borderId="23" xfId="0" applyFont="1" applyBorder="1" applyAlignment="1">
      <alignment wrapText="1"/>
    </xf>
    <xf numFmtId="0" fontId="121" fillId="0" borderId="23" xfId="0" applyFont="1" applyBorder="1" applyAlignment="1">
      <alignment/>
    </xf>
    <xf numFmtId="171" fontId="121" fillId="0" borderId="23" xfId="0" applyNumberFormat="1" applyFont="1" applyBorder="1" applyAlignment="1">
      <alignment/>
    </xf>
    <xf numFmtId="0" fontId="121" fillId="0" borderId="23" xfId="0" applyFont="1" applyFill="1" applyBorder="1" applyAlignment="1">
      <alignment wrapText="1"/>
    </xf>
    <xf numFmtId="49" fontId="129" fillId="0" borderId="23" xfId="0" applyNumberFormat="1" applyFont="1" applyFill="1" applyBorder="1" applyAlignment="1">
      <alignment horizontal="left"/>
    </xf>
    <xf numFmtId="0" fontId="129" fillId="0" borderId="23" xfId="0" applyFont="1" applyFill="1" applyBorder="1" applyAlignment="1">
      <alignment/>
    </xf>
    <xf numFmtId="183" fontId="129" fillId="0" borderId="23" xfId="0" applyNumberFormat="1" applyFont="1" applyFill="1" applyBorder="1" applyAlignment="1">
      <alignment/>
    </xf>
    <xf numFmtId="49" fontId="116" fillId="0" borderId="0" xfId="0" applyNumberFormat="1" applyFont="1" applyFill="1" applyAlignment="1">
      <alignment horizontal="left"/>
    </xf>
    <xf numFmtId="4" fontId="121" fillId="0" borderId="0" xfId="0" applyNumberFormat="1" applyFont="1" applyFill="1" applyBorder="1" applyAlignment="1">
      <alignment/>
    </xf>
    <xf numFmtId="211" fontId="0" fillId="0" borderId="0" xfId="0" applyNumberFormat="1" applyFill="1" applyAlignment="1">
      <alignment/>
    </xf>
    <xf numFmtId="0" fontId="22" fillId="0" borderId="0" xfId="57" applyFont="1" applyFill="1">
      <alignment/>
      <protection/>
    </xf>
    <xf numFmtId="212" fontId="0" fillId="0" borderId="0" xfId="0" applyNumberFormat="1" applyFill="1" applyAlignment="1">
      <alignment/>
    </xf>
    <xf numFmtId="183" fontId="0" fillId="0" borderId="0" xfId="0" applyNumberFormat="1" applyFill="1" applyBorder="1" applyAlignment="1">
      <alignment/>
    </xf>
    <xf numFmtId="167" fontId="0" fillId="0" borderId="23" xfId="0" applyNumberFormat="1" applyBorder="1" applyAlignment="1">
      <alignment/>
    </xf>
    <xf numFmtId="0" fontId="116" fillId="0" borderId="23" xfId="0" applyFont="1" applyFill="1" applyBorder="1" applyAlignment="1">
      <alignment/>
    </xf>
    <xf numFmtId="0" fontId="116" fillId="0" borderId="23" xfId="0" applyFont="1" applyBorder="1" applyAlignment="1">
      <alignment horizontal="center" wrapText="1"/>
    </xf>
    <xf numFmtId="14" fontId="0" fillId="0" borderId="23" xfId="0" applyNumberFormat="1" applyBorder="1" applyAlignment="1">
      <alignment horizontal="center" vertical="center"/>
    </xf>
    <xf numFmtId="0" fontId="0" fillId="0" borderId="23" xfId="0" applyBorder="1" applyAlignment="1">
      <alignment horizontal="center" vertical="center"/>
    </xf>
    <xf numFmtId="0" fontId="157" fillId="0" borderId="23" xfId="0" applyFont="1" applyBorder="1" applyAlignment="1">
      <alignment horizontal="left" vertical="center" wrapText="1"/>
    </xf>
    <xf numFmtId="0" fontId="0" fillId="0" borderId="23" xfId="0" applyFill="1" applyBorder="1" applyAlignment="1">
      <alignment horizontal="left" vertical="center" wrapText="1"/>
    </xf>
    <xf numFmtId="14"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157" fillId="0" borderId="23" xfId="0" applyFont="1" applyFill="1" applyBorder="1" applyAlignment="1">
      <alignment wrapText="1"/>
    </xf>
    <xf numFmtId="0" fontId="0" fillId="0" borderId="23" xfId="0" applyFill="1" applyBorder="1" applyAlignment="1">
      <alignment horizontal="center"/>
    </xf>
    <xf numFmtId="0" fontId="0" fillId="0" borderId="23" xfId="0" applyBorder="1" applyAlignment="1">
      <alignment/>
    </xf>
    <xf numFmtId="4" fontId="0" fillId="0" borderId="23" xfId="0" applyNumberFormat="1" applyFill="1" applyBorder="1" applyAlignment="1">
      <alignment horizontal="right" vertical="center"/>
    </xf>
    <xf numFmtId="191" fontId="158"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9" fontId="29" fillId="0" borderId="0" xfId="61" applyFont="1" applyFill="1" applyBorder="1" applyAlignment="1">
      <alignment horizontal="center" vertical="top" wrapText="1"/>
    </xf>
    <xf numFmtId="0" fontId="30" fillId="0" borderId="0" xfId="0" applyFont="1" applyFill="1" applyBorder="1" applyAlignment="1">
      <alignment horizontal="left" vertical="top" wrapText="1"/>
    </xf>
    <xf numFmtId="9" fontId="30" fillId="0" borderId="0" xfId="61" applyFont="1" applyFill="1" applyBorder="1" applyAlignment="1">
      <alignment horizontal="center" vertical="top" wrapText="1"/>
    </xf>
    <xf numFmtId="39" fontId="30" fillId="0" borderId="0" xfId="52" applyNumberFormat="1" applyFont="1" applyFill="1" applyBorder="1" applyAlignment="1">
      <alignment horizontal="center" vertical="top" wrapText="1"/>
    </xf>
    <xf numFmtId="0" fontId="30" fillId="34" borderId="0" xfId="0" applyFont="1" applyFill="1" applyBorder="1" applyAlignment="1">
      <alignment horizontal="left" vertical="top" wrapText="1"/>
    </xf>
    <xf numFmtId="4" fontId="30" fillId="0" borderId="0" xfId="61" applyNumberFormat="1" applyFont="1" applyFill="1" applyBorder="1" applyAlignment="1">
      <alignment horizontal="center" vertical="top" wrapText="1"/>
    </xf>
    <xf numFmtId="4" fontId="30" fillId="0" borderId="0" xfId="52" applyNumberFormat="1" applyFont="1" applyFill="1" applyBorder="1" applyAlignment="1">
      <alignment horizontal="center" vertical="center" wrapText="1"/>
    </xf>
    <xf numFmtId="0" fontId="158" fillId="0" borderId="0" xfId="0" applyFont="1" applyFill="1" applyBorder="1" applyAlignment="1">
      <alignment horizontal="center" vertical="center"/>
    </xf>
    <xf numFmtId="37" fontId="29" fillId="0" borderId="0" xfId="52" applyNumberFormat="1" applyFont="1" applyFill="1" applyBorder="1" applyAlignment="1">
      <alignment horizontal="center" vertical="top" wrapText="1"/>
    </xf>
    <xf numFmtId="37" fontId="30" fillId="0" borderId="0" xfId="52" applyNumberFormat="1" applyFont="1" applyFill="1" applyBorder="1" applyAlignment="1">
      <alignment horizontal="center" vertical="top" wrapText="1"/>
    </xf>
    <xf numFmtId="37" fontId="30" fillId="34" borderId="0" xfId="52" applyNumberFormat="1" applyFont="1" applyFill="1" applyBorder="1" applyAlignment="1">
      <alignment horizontal="center" vertical="top" wrapText="1"/>
    </xf>
    <xf numFmtId="0" fontId="38" fillId="0" borderId="0" xfId="0" applyFont="1" applyFill="1" applyBorder="1" applyAlignment="1">
      <alignment horizontal="center" vertical="top" wrapText="1"/>
    </xf>
    <xf numFmtId="0" fontId="38" fillId="0" borderId="0" xfId="0" applyFont="1" applyFill="1" applyBorder="1" applyAlignment="1">
      <alignment horizontal="center" vertical="top"/>
    </xf>
    <xf numFmtId="0" fontId="0" fillId="0" borderId="0" xfId="49" applyFont="1" applyAlignment="1">
      <alignment vertical="center"/>
    </xf>
    <xf numFmtId="0" fontId="154" fillId="0" borderId="0" xfId="0" applyFont="1" applyFill="1" applyAlignment="1">
      <alignment/>
    </xf>
    <xf numFmtId="39" fontId="154" fillId="34" borderId="0" xfId="56" applyNumberFormat="1" applyFont="1" applyFill="1">
      <alignment/>
      <protection/>
    </xf>
    <xf numFmtId="39" fontId="154" fillId="0" borderId="0" xfId="0" applyNumberFormat="1" applyFont="1" applyFill="1" applyAlignment="1">
      <alignment/>
    </xf>
    <xf numFmtId="39" fontId="154" fillId="0" borderId="0" xfId="0" applyNumberFormat="1" applyFont="1" applyAlignment="1">
      <alignment/>
    </xf>
    <xf numFmtId="39" fontId="154" fillId="33" borderId="0" xfId="0" applyNumberFormat="1" applyFont="1" applyFill="1" applyAlignment="1">
      <alignment/>
    </xf>
    <xf numFmtId="39" fontId="159" fillId="0" borderId="10" xfId="56" applyNumberFormat="1" applyFont="1" applyFill="1" applyBorder="1" applyAlignment="1">
      <alignment horizontal="right"/>
      <protection/>
    </xf>
    <xf numFmtId="214" fontId="132" fillId="0" borderId="0" xfId="0" applyNumberFormat="1" applyFont="1" applyAlignment="1">
      <alignment vertical="center"/>
    </xf>
    <xf numFmtId="39" fontId="24" fillId="33" borderId="0" xfId="56" applyNumberFormat="1" applyFont="1" applyFill="1">
      <alignment/>
      <protection/>
    </xf>
    <xf numFmtId="0" fontId="0" fillId="0" borderId="0" xfId="49" applyFont="1" applyAlignment="1">
      <alignment/>
    </xf>
    <xf numFmtId="39" fontId="6" fillId="0" borderId="0" xfId="56" applyNumberFormat="1" applyFont="1">
      <alignment/>
      <protection/>
    </xf>
    <xf numFmtId="0" fontId="160" fillId="0" borderId="0" xfId="56" applyFont="1">
      <alignment/>
      <protection/>
    </xf>
    <xf numFmtId="0" fontId="161" fillId="0" borderId="0" xfId="56" applyFont="1">
      <alignment/>
      <protection/>
    </xf>
    <xf numFmtId="171" fontId="0" fillId="0" borderId="0" xfId="0" applyNumberFormat="1" applyFill="1" applyAlignment="1">
      <alignment/>
    </xf>
    <xf numFmtId="39" fontId="127" fillId="0" borderId="0" xfId="0" applyNumberFormat="1" applyFont="1" applyFill="1" applyAlignment="1">
      <alignment/>
    </xf>
    <xf numFmtId="0" fontId="0" fillId="0" borderId="0" xfId="49" applyFont="1" applyFill="1" applyBorder="1" applyAlignment="1">
      <alignment/>
    </xf>
    <xf numFmtId="169" fontId="132" fillId="34" borderId="0" xfId="0" applyNumberFormat="1" applyFont="1" applyFill="1" applyBorder="1" applyAlignment="1">
      <alignment vertical="center"/>
    </xf>
    <xf numFmtId="169" fontId="132" fillId="34" borderId="13" xfId="0" applyNumberFormat="1" applyFont="1" applyFill="1" applyBorder="1" applyAlignment="1">
      <alignment vertical="center"/>
    </xf>
    <xf numFmtId="169" fontId="153" fillId="0" borderId="0" xfId="0" applyNumberFormat="1" applyFont="1" applyFill="1" applyBorder="1" applyAlignment="1">
      <alignment/>
    </xf>
    <xf numFmtId="183" fontId="139" fillId="0" borderId="23" xfId="0" applyNumberFormat="1" applyFont="1" applyFill="1" applyBorder="1" applyAlignment="1">
      <alignment/>
    </xf>
    <xf numFmtId="37" fontId="13" fillId="0" borderId="0" xfId="0" applyNumberFormat="1" applyFont="1" applyFill="1" applyAlignment="1">
      <alignment horizontal="right"/>
    </xf>
    <xf numFmtId="37" fontId="13" fillId="0" borderId="13" xfId="0" applyNumberFormat="1" applyFont="1" applyFill="1" applyBorder="1" applyAlignment="1">
      <alignment horizontal="right"/>
    </xf>
    <xf numFmtId="37" fontId="121" fillId="0" borderId="0" xfId="0" applyNumberFormat="1" applyFont="1" applyFill="1" applyAlignment="1">
      <alignment/>
    </xf>
    <xf numFmtId="37" fontId="124" fillId="0" borderId="0" xfId="0" applyNumberFormat="1" applyFont="1" applyFill="1" applyAlignment="1">
      <alignment/>
    </xf>
    <xf numFmtId="216" fontId="119" fillId="0" borderId="0" xfId="0" applyNumberFormat="1" applyFont="1" applyFill="1" applyAlignment="1">
      <alignment/>
    </xf>
    <xf numFmtId="216" fontId="13" fillId="0" borderId="0" xfId="0" applyNumberFormat="1" applyFont="1" applyFill="1" applyAlignment="1">
      <alignment/>
    </xf>
    <xf numFmtId="216" fontId="119" fillId="0" borderId="13" xfId="0" applyNumberFormat="1" applyFont="1" applyFill="1" applyBorder="1" applyAlignment="1">
      <alignment/>
    </xf>
    <xf numFmtId="216" fontId="124" fillId="0" borderId="0" xfId="0" applyNumberFormat="1" applyFont="1" applyFill="1" applyAlignment="1">
      <alignment/>
    </xf>
    <xf numFmtId="216" fontId="129" fillId="0" borderId="10" xfId="0" applyNumberFormat="1" applyFont="1" applyFill="1" applyBorder="1" applyAlignment="1">
      <alignment/>
    </xf>
    <xf numFmtId="37" fontId="119" fillId="0" borderId="0" xfId="0" applyNumberFormat="1" applyFont="1" applyFill="1" applyBorder="1" applyAlignment="1">
      <alignment/>
    </xf>
    <xf numFmtId="37" fontId="119" fillId="0" borderId="16" xfId="0" applyNumberFormat="1" applyFont="1" applyFill="1" applyBorder="1" applyAlignment="1">
      <alignment/>
    </xf>
    <xf numFmtId="37" fontId="119" fillId="0" borderId="0" xfId="0" applyNumberFormat="1" applyFont="1" applyFill="1" applyAlignment="1">
      <alignment/>
    </xf>
    <xf numFmtId="37" fontId="12" fillId="0" borderId="10" xfId="0" applyNumberFormat="1" applyFont="1" applyFill="1" applyBorder="1" applyAlignment="1">
      <alignment/>
    </xf>
    <xf numFmtId="37" fontId="12" fillId="0" borderId="10" xfId="49" applyNumberFormat="1" applyFont="1" applyFill="1" applyBorder="1" applyAlignment="1">
      <alignment/>
    </xf>
    <xf numFmtId="37" fontId="123" fillId="0" borderId="0" xfId="0" applyNumberFormat="1" applyFont="1" applyFill="1" applyAlignment="1">
      <alignment/>
    </xf>
    <xf numFmtId="37" fontId="122" fillId="0" borderId="0" xfId="0" applyNumberFormat="1" applyFont="1" applyFill="1" applyAlignment="1">
      <alignment/>
    </xf>
    <xf numFmtId="37" fontId="99" fillId="0" borderId="0" xfId="0" applyNumberFormat="1" applyFont="1" applyFill="1" applyAlignment="1">
      <alignment/>
    </xf>
    <xf numFmtId="37" fontId="0" fillId="0" borderId="0" xfId="0" applyNumberFormat="1" applyFill="1" applyAlignment="1">
      <alignment/>
    </xf>
    <xf numFmtId="37" fontId="122" fillId="0" borderId="16" xfId="0" applyNumberFormat="1" applyFont="1" applyFill="1" applyBorder="1" applyAlignment="1">
      <alignment/>
    </xf>
    <xf numFmtId="37" fontId="122" fillId="0" borderId="0" xfId="0" applyNumberFormat="1" applyFont="1" applyFill="1" applyBorder="1" applyAlignment="1">
      <alignment/>
    </xf>
    <xf numFmtId="37" fontId="125" fillId="0" borderId="10" xfId="49" applyNumberFormat="1" applyFont="1" applyFill="1" applyBorder="1" applyAlignment="1">
      <alignment/>
    </xf>
    <xf numFmtId="37" fontId="138" fillId="0" borderId="0" xfId="0" applyNumberFormat="1" applyFont="1" applyFill="1" applyAlignment="1">
      <alignment/>
    </xf>
    <xf numFmtId="37" fontId="119" fillId="0" borderId="13" xfId="0" applyNumberFormat="1" applyFont="1" applyFill="1" applyBorder="1" applyAlignment="1">
      <alignment/>
    </xf>
    <xf numFmtId="37" fontId="13" fillId="0" borderId="0" xfId="0" applyNumberFormat="1" applyFont="1" applyFill="1" applyAlignment="1">
      <alignment/>
    </xf>
    <xf numFmtId="37" fontId="13" fillId="0" borderId="16" xfId="0" applyNumberFormat="1" applyFont="1" applyFill="1" applyBorder="1" applyAlignment="1">
      <alignment/>
    </xf>
    <xf numFmtId="37" fontId="121" fillId="0" borderId="16" xfId="0" applyNumberFormat="1" applyFont="1" applyFill="1" applyBorder="1" applyAlignment="1">
      <alignment/>
    </xf>
    <xf numFmtId="37" fontId="12" fillId="0" borderId="0" xfId="49" applyNumberFormat="1" applyFont="1" applyFill="1" applyAlignment="1">
      <alignment/>
    </xf>
    <xf numFmtId="37" fontId="128" fillId="0" borderId="0" xfId="0" applyNumberFormat="1" applyFont="1" applyFill="1" applyAlignment="1">
      <alignment/>
    </xf>
    <xf numFmtId="37" fontId="7" fillId="0" borderId="0" xfId="56" applyNumberFormat="1" applyFont="1" applyAlignment="1">
      <alignment horizontal="center"/>
      <protection/>
    </xf>
    <xf numFmtId="37" fontId="129" fillId="0" borderId="0" xfId="0" applyNumberFormat="1" applyFont="1" applyFill="1" applyAlignment="1">
      <alignment/>
    </xf>
    <xf numFmtId="37" fontId="12" fillId="0" borderId="11" xfId="49" applyNumberFormat="1" applyFont="1" applyFill="1" applyBorder="1" applyAlignment="1">
      <alignment/>
    </xf>
    <xf numFmtId="37" fontId="13" fillId="0" borderId="0" xfId="0" applyNumberFormat="1" applyFont="1" applyFill="1" applyBorder="1" applyAlignment="1">
      <alignment/>
    </xf>
    <xf numFmtId="37" fontId="12" fillId="0" borderId="0" xfId="0" applyNumberFormat="1" applyFont="1" applyFill="1" applyAlignment="1">
      <alignment/>
    </xf>
    <xf numFmtId="37" fontId="12" fillId="0" borderId="17" xfId="0" applyNumberFormat="1" applyFont="1" applyFill="1" applyBorder="1" applyAlignment="1">
      <alignment/>
    </xf>
    <xf numFmtId="37" fontId="12" fillId="0" borderId="11" xfId="0" applyNumberFormat="1" applyFont="1" applyFill="1" applyBorder="1" applyAlignment="1">
      <alignment/>
    </xf>
    <xf numFmtId="37" fontId="0" fillId="0" borderId="0" xfId="0" applyNumberFormat="1" applyFill="1" applyBorder="1" applyAlignment="1">
      <alignment/>
    </xf>
    <xf numFmtId="3" fontId="121" fillId="0" borderId="0" xfId="0" applyNumberFormat="1" applyFont="1" applyFill="1" applyAlignment="1">
      <alignment/>
    </xf>
    <xf numFmtId="3" fontId="119" fillId="0" borderId="0" xfId="0" applyNumberFormat="1" applyFont="1" applyFill="1" applyAlignment="1">
      <alignment/>
    </xf>
    <xf numFmtId="3" fontId="12" fillId="0" borderId="17" xfId="0" applyNumberFormat="1" applyFont="1" applyFill="1" applyBorder="1" applyAlignment="1">
      <alignment/>
    </xf>
    <xf numFmtId="3" fontId="0" fillId="0" borderId="0" xfId="0" applyNumberFormat="1" applyFill="1" applyAlignment="1">
      <alignment/>
    </xf>
    <xf numFmtId="37" fontId="0" fillId="0" borderId="20" xfId="0" applyNumberFormat="1" applyFill="1" applyBorder="1" applyAlignment="1">
      <alignment/>
    </xf>
    <xf numFmtId="37" fontId="7" fillId="0" borderId="10" xfId="49" applyNumberFormat="1" applyFont="1" applyFill="1" applyBorder="1" applyAlignment="1">
      <alignment/>
    </xf>
    <xf numFmtId="37" fontId="8" fillId="0" borderId="31" xfId="0" applyNumberFormat="1" applyFont="1" applyBorder="1" applyAlignment="1">
      <alignment/>
    </xf>
    <xf numFmtId="37" fontId="8" fillId="0" borderId="32" xfId="0" applyNumberFormat="1" applyFont="1" applyBorder="1" applyAlignment="1">
      <alignment/>
    </xf>
    <xf numFmtId="37" fontId="8" fillId="0" borderId="33" xfId="0" applyNumberFormat="1" applyFont="1" applyBorder="1" applyAlignment="1">
      <alignment/>
    </xf>
    <xf numFmtId="37" fontId="8" fillId="0" borderId="16" xfId="0" applyNumberFormat="1" applyFont="1" applyBorder="1" applyAlignment="1">
      <alignment/>
    </xf>
    <xf numFmtId="37" fontId="8" fillId="0" borderId="34" xfId="0" applyNumberFormat="1" applyFont="1" applyBorder="1" applyAlignment="1">
      <alignment/>
    </xf>
    <xf numFmtId="37" fontId="6" fillId="0" borderId="16" xfId="0" applyNumberFormat="1" applyFont="1" applyBorder="1" applyAlignment="1">
      <alignment/>
    </xf>
    <xf numFmtId="37" fontId="6" fillId="0" borderId="34" xfId="0" applyNumberFormat="1" applyFont="1" applyBorder="1" applyAlignment="1">
      <alignment/>
    </xf>
    <xf numFmtId="37" fontId="12" fillId="0" borderId="10" xfId="0" applyNumberFormat="1" applyFont="1" applyBorder="1" applyAlignment="1">
      <alignment/>
    </xf>
    <xf numFmtId="216" fontId="119" fillId="0" borderId="32" xfId="0" applyNumberFormat="1" applyFont="1" applyFill="1" applyBorder="1" applyAlignment="1">
      <alignment/>
    </xf>
    <xf numFmtId="37" fontId="116" fillId="0" borderId="0" xfId="0" applyNumberFormat="1" applyFont="1" applyFill="1" applyBorder="1" applyAlignment="1">
      <alignment/>
    </xf>
    <xf numFmtId="37" fontId="116" fillId="0" borderId="32" xfId="0" applyNumberFormat="1" applyFont="1" applyFill="1" applyBorder="1" applyAlignment="1">
      <alignment/>
    </xf>
    <xf numFmtId="37" fontId="0" fillId="0" borderId="32" xfId="0" applyNumberFormat="1" applyFill="1" applyBorder="1" applyAlignment="1">
      <alignment/>
    </xf>
    <xf numFmtId="37" fontId="69" fillId="0" borderId="32"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Border="1" applyAlignment="1">
      <alignment/>
    </xf>
    <xf numFmtId="37" fontId="116" fillId="0" borderId="0" xfId="0" applyNumberFormat="1" applyFont="1" applyBorder="1" applyAlignment="1">
      <alignment/>
    </xf>
    <xf numFmtId="37" fontId="116" fillId="0" borderId="16" xfId="0" applyNumberFormat="1" applyFont="1" applyBorder="1" applyAlignment="1">
      <alignment/>
    </xf>
    <xf numFmtId="37" fontId="116" fillId="0" borderId="34" xfId="0" applyNumberFormat="1" applyFont="1" applyFill="1" applyBorder="1" applyAlignment="1">
      <alignment/>
    </xf>
    <xf numFmtId="37" fontId="116" fillId="0" borderId="32" xfId="0" applyNumberFormat="1" applyFont="1" applyBorder="1" applyAlignment="1">
      <alignment/>
    </xf>
    <xf numFmtId="37" fontId="0" fillId="0" borderId="0" xfId="0" applyNumberFormat="1" applyFont="1" applyBorder="1" applyAlignment="1">
      <alignment/>
    </xf>
    <xf numFmtId="37" fontId="0" fillId="0" borderId="32" xfId="0" applyNumberFormat="1" applyFont="1" applyBorder="1" applyAlignment="1">
      <alignment/>
    </xf>
    <xf numFmtId="37" fontId="116" fillId="0" borderId="34" xfId="0" applyNumberFormat="1" applyFont="1" applyBorder="1" applyAlignment="1">
      <alignment/>
    </xf>
    <xf numFmtId="37" fontId="2" fillId="0" borderId="0" xfId="0" applyNumberFormat="1" applyFont="1" applyFill="1" applyAlignment="1">
      <alignment horizontal="right"/>
    </xf>
    <xf numFmtId="37" fontId="2" fillId="0" borderId="13" xfId="0" applyNumberFormat="1" applyFont="1" applyFill="1" applyBorder="1" applyAlignment="1">
      <alignment horizontal="right"/>
    </xf>
    <xf numFmtId="37" fontId="2" fillId="0" borderId="13" xfId="0" applyNumberFormat="1" applyFont="1" applyFill="1" applyBorder="1" applyAlignment="1">
      <alignment/>
    </xf>
    <xf numFmtId="37" fontId="2" fillId="0" borderId="0" xfId="0" applyNumberFormat="1" applyFont="1" applyFill="1" applyAlignment="1">
      <alignment/>
    </xf>
    <xf numFmtId="37" fontId="5" fillId="0" borderId="11" xfId="0" applyNumberFormat="1" applyFont="1" applyFill="1" applyBorder="1" applyAlignment="1">
      <alignment/>
    </xf>
    <xf numFmtId="37" fontId="5" fillId="0" borderId="10" xfId="0" applyNumberFormat="1" applyFont="1" applyFill="1" applyBorder="1" applyAlignment="1">
      <alignment/>
    </xf>
    <xf numFmtId="37" fontId="2" fillId="0" borderId="0" xfId="0" applyNumberFormat="1" applyFont="1" applyFill="1" applyBorder="1" applyAlignment="1">
      <alignment/>
    </xf>
    <xf numFmtId="37" fontId="5" fillId="0" borderId="0" xfId="0" applyNumberFormat="1" applyFont="1" applyFill="1" applyAlignment="1">
      <alignment/>
    </xf>
    <xf numFmtId="37" fontId="5" fillId="0" borderId="14" xfId="0" applyNumberFormat="1" applyFont="1" applyFill="1" applyBorder="1" applyAlignment="1">
      <alignment/>
    </xf>
    <xf numFmtId="37" fontId="6" fillId="0" borderId="0" xfId="56" applyNumberFormat="1" applyFont="1">
      <alignment/>
      <protection/>
    </xf>
    <xf numFmtId="37" fontId="24" fillId="0" borderId="0" xfId="0" applyNumberFormat="1" applyFont="1" applyAlignment="1">
      <alignment/>
    </xf>
    <xf numFmtId="37" fontId="24" fillId="0" borderId="13" xfId="0" applyNumberFormat="1" applyFont="1" applyBorder="1" applyAlignment="1">
      <alignment/>
    </xf>
    <xf numFmtId="37" fontId="8" fillId="0" borderId="0" xfId="56" applyNumberFormat="1" applyFont="1">
      <alignment/>
      <protection/>
    </xf>
    <xf numFmtId="37" fontId="116" fillId="0" borderId="0" xfId="0" applyNumberFormat="1" applyFont="1" applyAlignment="1">
      <alignment/>
    </xf>
    <xf numFmtId="37" fontId="0" fillId="0" borderId="0" xfId="0" applyNumberFormat="1" applyAlignment="1">
      <alignment/>
    </xf>
    <xf numFmtId="37" fontId="7" fillId="0" borderId="13" xfId="56" applyNumberFormat="1" applyFont="1" applyBorder="1" applyAlignment="1">
      <alignment horizontal="center"/>
      <protection/>
    </xf>
    <xf numFmtId="37" fontId="7" fillId="0" borderId="0" xfId="56" applyNumberFormat="1" applyFont="1">
      <alignment/>
      <protection/>
    </xf>
    <xf numFmtId="37" fontId="7" fillId="0" borderId="0" xfId="56" applyNumberFormat="1" applyFont="1" applyAlignment="1">
      <alignment horizontal="right"/>
      <protection/>
    </xf>
    <xf numFmtId="37" fontId="0" fillId="0" borderId="13" xfId="0" applyNumberFormat="1" applyBorder="1" applyAlignment="1">
      <alignment/>
    </xf>
    <xf numFmtId="37" fontId="7" fillId="0" borderId="0" xfId="56" applyNumberFormat="1" applyFont="1" applyAlignment="1">
      <alignment/>
      <protection/>
    </xf>
    <xf numFmtId="37" fontId="0" fillId="0" borderId="0" xfId="0" applyNumberFormat="1" applyFont="1" applyAlignment="1">
      <alignment/>
    </xf>
    <xf numFmtId="37" fontId="6" fillId="0" borderId="0" xfId="56" applyNumberFormat="1" applyFont="1" applyFill="1">
      <alignment/>
      <protection/>
    </xf>
    <xf numFmtId="37" fontId="0" fillId="0" borderId="13" xfId="0" applyNumberFormat="1" applyFont="1" applyBorder="1" applyAlignment="1">
      <alignment/>
    </xf>
    <xf numFmtId="37" fontId="8" fillId="0" borderId="0" xfId="56" applyNumberFormat="1" applyFont="1" applyFill="1">
      <alignment/>
      <protection/>
    </xf>
    <xf numFmtId="37" fontId="24" fillId="0" borderId="0" xfId="56" applyNumberFormat="1" applyFont="1" applyFill="1">
      <alignment/>
      <protection/>
    </xf>
    <xf numFmtId="37" fontId="24" fillId="34" borderId="0" xfId="56" applyNumberFormat="1" applyFont="1" applyFill="1">
      <alignment/>
      <protection/>
    </xf>
    <xf numFmtId="37" fontId="24" fillId="0" borderId="0" xfId="56" applyNumberFormat="1" applyFont="1">
      <alignment/>
      <protection/>
    </xf>
    <xf numFmtId="37" fontId="9" fillId="0" borderId="10" xfId="56" applyNumberFormat="1" applyFont="1" applyFill="1" applyBorder="1" applyAlignment="1">
      <alignment horizontal="right"/>
      <protection/>
    </xf>
    <xf numFmtId="37" fontId="24" fillId="0" borderId="0" xfId="0" applyNumberFormat="1" applyFont="1" applyFill="1" applyAlignment="1">
      <alignment/>
    </xf>
    <xf numFmtId="37" fontId="24" fillId="0" borderId="0" xfId="0" applyNumberFormat="1" applyFont="1" applyBorder="1" applyAlignment="1">
      <alignment/>
    </xf>
    <xf numFmtId="37" fontId="0" fillId="0" borderId="0" xfId="0" applyNumberFormat="1" applyFont="1" applyFill="1" applyAlignment="1">
      <alignment/>
    </xf>
    <xf numFmtId="37" fontId="116" fillId="0" borderId="15" xfId="0" applyNumberFormat="1" applyFont="1" applyBorder="1" applyAlignment="1">
      <alignment/>
    </xf>
    <xf numFmtId="37" fontId="116" fillId="0" borderId="22" xfId="0" applyNumberFormat="1" applyFont="1" applyBorder="1" applyAlignment="1">
      <alignment/>
    </xf>
    <xf numFmtId="37" fontId="9" fillId="0" borderId="11" xfId="56" applyNumberFormat="1" applyFont="1" applyBorder="1" applyAlignment="1">
      <alignment horizontal="right"/>
      <protection/>
    </xf>
    <xf numFmtId="37" fontId="9" fillId="0" borderId="10" xfId="56" applyNumberFormat="1" applyFont="1" applyBorder="1" applyAlignment="1">
      <alignment horizontal="right"/>
      <protection/>
    </xf>
    <xf numFmtId="37" fontId="117" fillId="0" borderId="11" xfId="0" applyNumberFormat="1" applyFont="1" applyFill="1" applyBorder="1" applyAlignment="1">
      <alignment/>
    </xf>
    <xf numFmtId="37" fontId="112" fillId="0" borderId="0" xfId="0" applyNumberFormat="1" applyFont="1" applyFill="1" applyAlignment="1">
      <alignment/>
    </xf>
    <xf numFmtId="37" fontId="9" fillId="0" borderId="10" xfId="56" applyNumberFormat="1" applyFont="1" applyFill="1" applyBorder="1">
      <alignment/>
      <protection/>
    </xf>
    <xf numFmtId="37" fontId="99" fillId="0" borderId="0" xfId="56" applyNumberFormat="1" applyFont="1">
      <alignment/>
      <protection/>
    </xf>
    <xf numFmtId="216" fontId="119" fillId="0" borderId="0" xfId="0" applyNumberFormat="1" applyFont="1" applyFill="1" applyBorder="1" applyAlignment="1">
      <alignment/>
    </xf>
    <xf numFmtId="37" fontId="99" fillId="0" borderId="0" xfId="0" applyNumberFormat="1" applyFont="1" applyAlignment="1">
      <alignment/>
    </xf>
    <xf numFmtId="37" fontId="8" fillId="0" borderId="21" xfId="0" applyNumberFormat="1" applyFont="1" applyFill="1" applyBorder="1" applyAlignment="1">
      <alignment/>
    </xf>
    <xf numFmtId="37" fontId="8" fillId="0" borderId="0" xfId="0" applyNumberFormat="1" applyFont="1" applyFill="1" applyBorder="1" applyAlignment="1">
      <alignment/>
    </xf>
    <xf numFmtId="37" fontId="8" fillId="0" borderId="13" xfId="0" applyNumberFormat="1" applyFont="1" applyFill="1" applyBorder="1" applyAlignment="1">
      <alignment/>
    </xf>
    <xf numFmtId="4" fontId="24" fillId="0" borderId="0" xfId="0" applyNumberFormat="1" applyFont="1" applyBorder="1" applyAlignment="1">
      <alignment vertical="center"/>
    </xf>
    <xf numFmtId="0" fontId="99" fillId="0" borderId="0" xfId="0" applyFont="1" applyBorder="1" applyAlignment="1">
      <alignment vertical="center"/>
    </xf>
    <xf numFmtId="0" fontId="0" fillId="0" borderId="0" xfId="0" applyBorder="1" applyAlignment="1">
      <alignment vertical="center"/>
    </xf>
    <xf numFmtId="171" fontId="24" fillId="0" borderId="0" xfId="0" applyNumberFormat="1" applyFont="1" applyBorder="1" applyAlignment="1">
      <alignment vertical="center"/>
    </xf>
    <xf numFmtId="0" fontId="24" fillId="0" borderId="0" xfId="0" applyFont="1" applyBorder="1" applyAlignment="1">
      <alignment vertical="center"/>
    </xf>
    <xf numFmtId="14" fontId="0" fillId="0" borderId="23" xfId="0" applyNumberFormat="1" applyBorder="1" applyAlignment="1">
      <alignment horizontal="left"/>
    </xf>
    <xf numFmtId="0" fontId="0" fillId="0" borderId="23" xfId="0" applyBorder="1" applyAlignment="1">
      <alignment horizontal="left"/>
    </xf>
    <xf numFmtId="0" fontId="116" fillId="0" borderId="35" xfId="0" applyFont="1" applyBorder="1" applyAlignment="1">
      <alignment/>
    </xf>
    <xf numFmtId="0" fontId="0" fillId="0" borderId="35" xfId="0" applyBorder="1" applyAlignment="1">
      <alignment/>
    </xf>
    <xf numFmtId="39" fontId="116" fillId="0" borderId="0" xfId="0" applyNumberFormat="1" applyFont="1" applyFill="1" applyAlignment="1">
      <alignment/>
    </xf>
    <xf numFmtId="0" fontId="116" fillId="0" borderId="0" xfId="0" applyFont="1" applyBorder="1" applyAlignment="1">
      <alignment/>
    </xf>
    <xf numFmtId="0" fontId="0" fillId="0" borderId="23" xfId="0" applyBorder="1" applyAlignment="1">
      <alignment wrapText="1"/>
    </xf>
    <xf numFmtId="14" fontId="0" fillId="0" borderId="23" xfId="0" applyNumberFormat="1" applyFill="1" applyBorder="1" applyAlignment="1">
      <alignment/>
    </xf>
    <xf numFmtId="14" fontId="0" fillId="34" borderId="23" xfId="0" applyNumberFormat="1" applyFill="1" applyBorder="1" applyAlignment="1">
      <alignment horizontal="left"/>
    </xf>
    <xf numFmtId="0" fontId="0" fillId="34" borderId="23" xfId="0" applyFill="1" applyBorder="1" applyAlignment="1">
      <alignment horizontal="left"/>
    </xf>
    <xf numFmtId="0" fontId="0" fillId="34" borderId="23" xfId="0" applyFill="1" applyBorder="1" applyAlignment="1">
      <alignment/>
    </xf>
    <xf numFmtId="14" fontId="0" fillId="0" borderId="23" xfId="0" applyNumberFormat="1" applyFill="1" applyBorder="1" applyAlignment="1">
      <alignment horizontal="left"/>
    </xf>
    <xf numFmtId="0" fontId="0" fillId="0" borderId="23" xfId="0" applyFill="1" applyBorder="1" applyAlignment="1">
      <alignment horizontal="left"/>
    </xf>
    <xf numFmtId="17" fontId="99" fillId="0" borderId="0" xfId="0" applyNumberFormat="1" applyFont="1" applyAlignment="1">
      <alignment/>
    </xf>
    <xf numFmtId="0" fontId="116" fillId="36" borderId="0" xfId="0" applyFont="1" applyFill="1" applyAlignment="1">
      <alignment/>
    </xf>
    <xf numFmtId="3" fontId="0" fillId="0" borderId="23" xfId="0" applyNumberFormat="1" applyBorder="1" applyAlignment="1">
      <alignment/>
    </xf>
    <xf numFmtId="3" fontId="0" fillId="0" borderId="35" xfId="0" applyNumberFormat="1" applyBorder="1" applyAlignment="1">
      <alignment/>
    </xf>
    <xf numFmtId="3" fontId="116" fillId="0" borderId="35" xfId="0" applyNumberFormat="1" applyFont="1" applyBorder="1" applyAlignment="1">
      <alignment/>
    </xf>
    <xf numFmtId="3" fontId="0" fillId="0" borderId="0" xfId="0" applyNumberFormat="1" applyAlignment="1">
      <alignment/>
    </xf>
    <xf numFmtId="3" fontId="116" fillId="0" borderId="0" xfId="0" applyNumberFormat="1" applyFont="1" applyFill="1" applyAlignment="1">
      <alignment/>
    </xf>
    <xf numFmtId="3" fontId="0" fillId="0" borderId="23" xfId="0" applyNumberFormat="1" applyBorder="1" applyAlignment="1">
      <alignment horizontal="right"/>
    </xf>
    <xf numFmtId="3" fontId="0" fillId="0" borderId="0" xfId="0" applyNumberFormat="1" applyBorder="1" applyAlignment="1">
      <alignment/>
    </xf>
    <xf numFmtId="3" fontId="116" fillId="0" borderId="0" xfId="0" applyNumberFormat="1" applyFont="1" applyBorder="1" applyAlignment="1">
      <alignment/>
    </xf>
    <xf numFmtId="3" fontId="0" fillId="0" borderId="23" xfId="0" applyNumberFormat="1" applyFill="1" applyBorder="1" applyAlignment="1">
      <alignment/>
    </xf>
    <xf numFmtId="3" fontId="0" fillId="0" borderId="23" xfId="0" applyNumberFormat="1" applyFill="1" applyBorder="1" applyAlignment="1">
      <alignment horizontal="right"/>
    </xf>
    <xf numFmtId="3" fontId="116" fillId="0" borderId="23" xfId="0" applyNumberFormat="1" applyFont="1" applyBorder="1" applyAlignment="1">
      <alignment/>
    </xf>
    <xf numFmtId="3" fontId="0" fillId="34" borderId="23" xfId="0" applyNumberFormat="1" applyFill="1" applyBorder="1" applyAlignment="1">
      <alignment horizontal="right"/>
    </xf>
    <xf numFmtId="3" fontId="116" fillId="0" borderId="23" xfId="0" applyNumberFormat="1" applyFont="1" applyFill="1" applyBorder="1" applyAlignment="1">
      <alignment/>
    </xf>
    <xf numFmtId="3" fontId="116" fillId="36" borderId="0" xfId="0" applyNumberFormat="1" applyFont="1" applyFill="1" applyAlignment="1">
      <alignment/>
    </xf>
    <xf numFmtId="0" fontId="132" fillId="0" borderId="0" xfId="0" applyFont="1" applyBorder="1" applyAlignment="1">
      <alignment horizontal="left" vertical="center"/>
    </xf>
    <xf numFmtId="169" fontId="133" fillId="0" borderId="11" xfId="0" applyNumberFormat="1" applyFont="1" applyFill="1" applyBorder="1" applyAlignment="1">
      <alignment/>
    </xf>
    <xf numFmtId="37" fontId="134" fillId="0" borderId="0" xfId="0" applyNumberFormat="1" applyFont="1" applyBorder="1" applyAlignment="1">
      <alignment vertical="center"/>
    </xf>
    <xf numFmtId="169" fontId="134" fillId="0" borderId="0" xfId="0" applyNumberFormat="1" applyFont="1" applyBorder="1" applyAlignment="1">
      <alignment vertical="center"/>
    </xf>
    <xf numFmtId="169" fontId="133" fillId="0" borderId="0" xfId="0" applyNumberFormat="1" applyFont="1" applyFill="1" applyBorder="1" applyAlignment="1">
      <alignment/>
    </xf>
    <xf numFmtId="187" fontId="30" fillId="0" borderId="0" xfId="52" applyNumberFormat="1" applyFont="1" applyFill="1" applyBorder="1" applyAlignment="1">
      <alignment horizontal="center" vertical="center" wrapText="1"/>
    </xf>
    <xf numFmtId="37" fontId="30" fillId="0" borderId="0" xfId="0" applyNumberFormat="1" applyFont="1" applyFill="1" applyBorder="1" applyAlignment="1">
      <alignment horizontal="center" vertical="top" wrapText="1"/>
    </xf>
    <xf numFmtId="0" fontId="37" fillId="0" borderId="0" xfId="0" applyFont="1" applyFill="1" applyBorder="1" applyAlignment="1">
      <alignment vertical="center" wrapText="1"/>
    </xf>
    <xf numFmtId="14" fontId="0" fillId="0" borderId="23" xfId="0" applyNumberFormat="1" applyFill="1" applyBorder="1" applyAlignment="1">
      <alignment vertical="center"/>
    </xf>
    <xf numFmtId="39" fontId="0" fillId="0" borderId="23" xfId="0" applyNumberFormat="1" applyBorder="1" applyAlignment="1">
      <alignment/>
    </xf>
    <xf numFmtId="14" fontId="24" fillId="0" borderId="23" xfId="0" applyNumberFormat="1" applyFont="1" applyFill="1" applyBorder="1" applyAlignment="1">
      <alignment vertical="center"/>
    </xf>
    <xf numFmtId="0" fontId="39" fillId="0" borderId="23" xfId="0" applyFont="1" applyFill="1" applyBorder="1" applyAlignment="1">
      <alignment/>
    </xf>
    <xf numFmtId="39" fontId="39" fillId="0" borderId="23" xfId="0" applyNumberFormat="1" applyFont="1" applyFill="1" applyBorder="1" applyAlignment="1">
      <alignment/>
    </xf>
    <xf numFmtId="37" fontId="5" fillId="0" borderId="36" xfId="0" applyNumberFormat="1" applyFont="1" applyFill="1" applyBorder="1" applyAlignment="1">
      <alignment/>
    </xf>
    <xf numFmtId="0" fontId="147" fillId="0" borderId="0" xfId="0" applyFont="1" applyBorder="1" applyAlignment="1">
      <alignment horizontal="center" vertical="center"/>
    </xf>
    <xf numFmtId="0" fontId="147" fillId="0" borderId="0" xfId="0" applyFont="1" applyAlignment="1">
      <alignment horizontal="center" vertical="center"/>
    </xf>
    <xf numFmtId="0" fontId="132" fillId="0" borderId="0" xfId="0" applyFont="1" applyAlignment="1">
      <alignment horizontal="left" vertical="center"/>
    </xf>
    <xf numFmtId="0" fontId="153" fillId="0" borderId="30" xfId="0" applyFont="1" applyFill="1" applyBorder="1" applyAlignment="1">
      <alignment horizontal="left" vertical="center"/>
    </xf>
    <xf numFmtId="0" fontId="153" fillId="0" borderId="16" xfId="0" applyFont="1" applyFill="1" applyBorder="1" applyAlignment="1">
      <alignment horizontal="left" vertical="center"/>
    </xf>
    <xf numFmtId="0" fontId="153" fillId="0" borderId="34" xfId="0" applyFont="1" applyFill="1" applyBorder="1" applyAlignment="1">
      <alignment horizontal="left" vertical="center"/>
    </xf>
    <xf numFmtId="0" fontId="132" fillId="0" borderId="0" xfId="0" applyFont="1" applyBorder="1" applyAlignment="1">
      <alignment horizontal="left" vertical="center"/>
    </xf>
    <xf numFmtId="0" fontId="132" fillId="0" borderId="0" xfId="0" applyFont="1" applyFill="1" applyBorder="1" applyAlignment="1">
      <alignment horizontal="left" vertical="center"/>
    </xf>
    <xf numFmtId="192" fontId="148" fillId="0" borderId="0" xfId="0" applyNumberFormat="1" applyFont="1" applyFill="1" applyBorder="1" applyAlignment="1">
      <alignment horizontal="left" vertical="top" wrapText="1"/>
    </xf>
    <xf numFmtId="0" fontId="162" fillId="0" borderId="0" xfId="0" applyFont="1" applyFill="1" applyBorder="1" applyAlignment="1">
      <alignment horizontal="center" vertical="center"/>
    </xf>
    <xf numFmtId="0" fontId="158"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16" fillId="0" borderId="0" xfId="0" applyFont="1" applyAlignment="1">
      <alignment horizontal="center"/>
    </xf>
    <xf numFmtId="0" fontId="11" fillId="0" borderId="0" xfId="0" applyFont="1" applyFill="1" applyAlignment="1">
      <alignment horizontal="center"/>
    </xf>
    <xf numFmtId="0" fontId="116" fillId="0" borderId="13" xfId="0" applyFont="1" applyFill="1" applyBorder="1" applyAlignment="1">
      <alignment horizontal="center"/>
    </xf>
    <xf numFmtId="0" fontId="116" fillId="0" borderId="0" xfId="0" applyFont="1" applyFill="1" applyBorder="1" applyAlignment="1">
      <alignment horizontal="center"/>
    </xf>
    <xf numFmtId="0" fontId="7" fillId="0" borderId="13" xfId="56" applyFont="1" applyBorder="1" applyAlignment="1">
      <alignment/>
      <protection/>
    </xf>
    <xf numFmtId="0" fontId="7" fillId="0" borderId="13" xfId="56" applyFont="1" applyBorder="1" applyAlignment="1">
      <alignment horizontal="center"/>
      <protection/>
    </xf>
    <xf numFmtId="0" fontId="129" fillId="0" borderId="0" xfId="0" applyFont="1" applyAlignment="1">
      <alignment horizontal="left" wrapText="1"/>
    </xf>
    <xf numFmtId="0" fontId="154" fillId="0" borderId="0" xfId="0" applyFont="1" applyFill="1" applyAlignment="1">
      <alignment horizontal="center"/>
    </xf>
    <xf numFmtId="0" fontId="14" fillId="0" borderId="0" xfId="56" applyFont="1" applyBorder="1" applyAlignment="1">
      <alignment horizontal="left"/>
      <protection/>
    </xf>
    <xf numFmtId="0" fontId="5" fillId="0" borderId="0" xfId="0" applyFont="1" applyFill="1" applyAlignment="1">
      <alignment horizontal="center"/>
    </xf>
    <xf numFmtId="0" fontId="7" fillId="0" borderId="0" xfId="56" applyFont="1" applyAlignment="1">
      <alignment horizontal="center"/>
      <protection/>
    </xf>
    <xf numFmtId="37" fontId="7" fillId="0" borderId="0" xfId="56" applyNumberFormat="1" applyFont="1" applyAlignment="1">
      <alignment horizontal="center"/>
      <protection/>
    </xf>
    <xf numFmtId="0" fontId="22" fillId="0" borderId="0" xfId="57" applyFont="1" applyFill="1">
      <alignment/>
      <protection/>
    </xf>
    <xf numFmtId="0" fontId="22" fillId="0" borderId="0" xfId="57" applyFont="1" applyFill="1" applyAlignment="1">
      <alignment horizont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3" xfId="57"/>
    <cellStyle name="Notas" xfId="58"/>
    <cellStyle name="Notas 2" xfId="59"/>
    <cellStyle name="Notas 2 2"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809625</xdr:colOff>
      <xdr:row>62</xdr:row>
      <xdr:rowOff>114300</xdr:rowOff>
    </xdr:from>
    <xdr:to>
      <xdr:col>3</xdr:col>
      <xdr:colOff>685800</xdr:colOff>
      <xdr:row>63</xdr:row>
      <xdr:rowOff>38100</xdr:rowOff>
    </xdr:to>
    <xdr:pic>
      <xdr:nvPicPr>
        <xdr:cNvPr id="1" name="4 Imagen"/>
        <xdr:cNvPicPr preferRelativeResize="1">
          <a:picLocks noChangeAspect="1"/>
        </xdr:cNvPicPr>
      </xdr:nvPicPr>
      <xdr:blipFill>
        <a:blip r:embed="rId1"/>
        <a:stretch>
          <a:fillRect/>
        </a:stretch>
      </xdr:blipFill>
      <xdr:spPr>
        <a:xfrm>
          <a:off x="1257300" y="8734425"/>
          <a:ext cx="3429000" cy="114300"/>
        </a:xfrm>
        <a:prstGeom prst="rect">
          <a:avLst/>
        </a:prstGeom>
        <a:noFill/>
        <a:ln w="9525" cmpd="sng">
          <a:noFill/>
        </a:ln>
      </xdr:spPr>
    </xdr:pic>
    <xdr:clientData/>
  </xdr:twoCellAnchor>
  <xdr:twoCellAnchor editAs="oneCell">
    <xdr:from>
      <xdr:col>0</xdr:col>
      <xdr:colOff>0</xdr:colOff>
      <xdr:row>67</xdr:row>
      <xdr:rowOff>142875</xdr:rowOff>
    </xdr:from>
    <xdr:to>
      <xdr:col>1</xdr:col>
      <xdr:colOff>1885950</xdr:colOff>
      <xdr:row>68</xdr:row>
      <xdr:rowOff>28575</xdr:rowOff>
    </xdr:to>
    <xdr:pic>
      <xdr:nvPicPr>
        <xdr:cNvPr id="2" name="4 Imagen"/>
        <xdr:cNvPicPr preferRelativeResize="1">
          <a:picLocks noChangeAspect="1"/>
        </xdr:cNvPicPr>
      </xdr:nvPicPr>
      <xdr:blipFill>
        <a:blip r:embed="rId1"/>
        <a:stretch>
          <a:fillRect/>
        </a:stretch>
      </xdr:blipFill>
      <xdr:spPr>
        <a:xfrm>
          <a:off x="0" y="9686925"/>
          <a:ext cx="2333625" cy="76200"/>
        </a:xfrm>
        <a:prstGeom prst="rect">
          <a:avLst/>
        </a:prstGeom>
        <a:noFill/>
        <a:ln w="9525" cmpd="sng">
          <a:noFill/>
        </a:ln>
      </xdr:spPr>
    </xdr:pic>
    <xdr:clientData/>
  </xdr:twoCellAnchor>
  <xdr:twoCellAnchor editAs="oneCell">
    <xdr:from>
      <xdr:col>2</xdr:col>
      <xdr:colOff>0</xdr:colOff>
      <xdr:row>67</xdr:row>
      <xdr:rowOff>161925</xdr:rowOff>
    </xdr:from>
    <xdr:to>
      <xdr:col>9</xdr:col>
      <xdr:colOff>161925</xdr:colOff>
      <xdr:row>68</xdr:row>
      <xdr:rowOff>57150</xdr:rowOff>
    </xdr:to>
    <xdr:pic>
      <xdr:nvPicPr>
        <xdr:cNvPr id="3" name="4 Imagen"/>
        <xdr:cNvPicPr preferRelativeResize="1">
          <a:picLocks noChangeAspect="1"/>
        </xdr:cNvPicPr>
      </xdr:nvPicPr>
      <xdr:blipFill>
        <a:blip r:embed="rId1"/>
        <a:stretch>
          <a:fillRect/>
        </a:stretch>
      </xdr:blipFill>
      <xdr:spPr>
        <a:xfrm>
          <a:off x="3886200" y="9705975"/>
          <a:ext cx="2628900" cy="85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2809875</xdr:colOff>
      <xdr:row>3</xdr:row>
      <xdr:rowOff>19050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0" y="0"/>
          <a:ext cx="3571875" cy="619125"/>
        </a:xfrm>
        <a:prstGeom prst="rect">
          <a:avLst/>
        </a:prstGeom>
        <a:noFill/>
        <a:ln w="9525" cmpd="sng">
          <a:noFill/>
        </a:ln>
      </xdr:spPr>
    </xdr:pic>
    <xdr:clientData/>
  </xdr:twoCellAnchor>
  <xdr:twoCellAnchor editAs="oneCell">
    <xdr:from>
      <xdr:col>1</xdr:col>
      <xdr:colOff>2190750</xdr:colOff>
      <xdr:row>18</xdr:row>
      <xdr:rowOff>133350</xdr:rowOff>
    </xdr:from>
    <xdr:to>
      <xdr:col>2</xdr:col>
      <xdr:colOff>2733675</xdr:colOff>
      <xdr:row>19</xdr:row>
      <xdr:rowOff>9525</xdr:rowOff>
    </xdr:to>
    <xdr:pic>
      <xdr:nvPicPr>
        <xdr:cNvPr id="2" name="12 Imagen"/>
        <xdr:cNvPicPr preferRelativeResize="1">
          <a:picLocks noChangeAspect="1"/>
        </xdr:cNvPicPr>
      </xdr:nvPicPr>
      <xdr:blipFill>
        <a:blip r:embed="rId2"/>
        <a:stretch>
          <a:fillRect/>
        </a:stretch>
      </xdr:blipFill>
      <xdr:spPr>
        <a:xfrm>
          <a:off x="2952750" y="6286500"/>
          <a:ext cx="3400425" cy="66675"/>
        </a:xfrm>
        <a:prstGeom prst="rect">
          <a:avLst/>
        </a:prstGeom>
        <a:noFill/>
        <a:ln w="9525" cmpd="sng">
          <a:noFill/>
        </a:ln>
      </xdr:spPr>
    </xdr:pic>
    <xdr:clientData/>
  </xdr:twoCellAnchor>
  <xdr:twoCellAnchor editAs="oneCell">
    <xdr:from>
      <xdr:col>2</xdr:col>
      <xdr:colOff>2876550</xdr:colOff>
      <xdr:row>25</xdr:row>
      <xdr:rowOff>104775</xdr:rowOff>
    </xdr:from>
    <xdr:to>
      <xdr:col>5</xdr:col>
      <xdr:colOff>428625</xdr:colOff>
      <xdr:row>25</xdr:row>
      <xdr:rowOff>180975</xdr:rowOff>
    </xdr:to>
    <xdr:pic>
      <xdr:nvPicPr>
        <xdr:cNvPr id="3" name="12 Imagen"/>
        <xdr:cNvPicPr preferRelativeResize="1">
          <a:picLocks noChangeAspect="1"/>
        </xdr:cNvPicPr>
      </xdr:nvPicPr>
      <xdr:blipFill>
        <a:blip r:embed="rId2"/>
        <a:stretch>
          <a:fillRect/>
        </a:stretch>
      </xdr:blipFill>
      <xdr:spPr>
        <a:xfrm>
          <a:off x="6496050" y="7591425"/>
          <a:ext cx="3390900" cy="76200"/>
        </a:xfrm>
        <a:prstGeom prst="rect">
          <a:avLst/>
        </a:prstGeom>
        <a:noFill/>
        <a:ln w="9525" cmpd="sng">
          <a:noFill/>
        </a:ln>
      </xdr:spPr>
    </xdr:pic>
    <xdr:clientData/>
  </xdr:twoCellAnchor>
  <xdr:twoCellAnchor editAs="oneCell">
    <xdr:from>
      <xdr:col>0</xdr:col>
      <xdr:colOff>190500</xdr:colOff>
      <xdr:row>25</xdr:row>
      <xdr:rowOff>85725</xdr:rowOff>
    </xdr:from>
    <xdr:to>
      <xdr:col>1</xdr:col>
      <xdr:colOff>2828925</xdr:colOff>
      <xdr:row>25</xdr:row>
      <xdr:rowOff>152400</xdr:rowOff>
    </xdr:to>
    <xdr:pic>
      <xdr:nvPicPr>
        <xdr:cNvPr id="4" name="12 Imagen"/>
        <xdr:cNvPicPr preferRelativeResize="1">
          <a:picLocks noChangeAspect="1"/>
        </xdr:cNvPicPr>
      </xdr:nvPicPr>
      <xdr:blipFill>
        <a:blip r:embed="rId2"/>
        <a:stretch>
          <a:fillRect/>
        </a:stretch>
      </xdr:blipFill>
      <xdr:spPr>
        <a:xfrm>
          <a:off x="190500" y="7572375"/>
          <a:ext cx="3400425" cy="66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137</xdr:row>
      <xdr:rowOff>104775</xdr:rowOff>
    </xdr:from>
    <xdr:to>
      <xdr:col>2</xdr:col>
      <xdr:colOff>3762375</xdr:colOff>
      <xdr:row>137</xdr:row>
      <xdr:rowOff>171450</xdr:rowOff>
    </xdr:to>
    <xdr:pic>
      <xdr:nvPicPr>
        <xdr:cNvPr id="1" name="12 Imagen"/>
        <xdr:cNvPicPr preferRelativeResize="1">
          <a:picLocks noChangeAspect="1"/>
        </xdr:cNvPicPr>
      </xdr:nvPicPr>
      <xdr:blipFill>
        <a:blip r:embed="rId1"/>
        <a:stretch>
          <a:fillRect/>
        </a:stretch>
      </xdr:blipFill>
      <xdr:spPr>
        <a:xfrm>
          <a:off x="2562225" y="25831800"/>
          <a:ext cx="3390900" cy="66675"/>
        </a:xfrm>
        <a:prstGeom prst="rect">
          <a:avLst/>
        </a:prstGeom>
        <a:noFill/>
        <a:ln w="9525" cmpd="sng">
          <a:noFill/>
        </a:ln>
      </xdr:spPr>
    </xdr:pic>
    <xdr:clientData/>
  </xdr:twoCellAnchor>
  <xdr:twoCellAnchor editAs="oneCell">
    <xdr:from>
      <xdr:col>2</xdr:col>
      <xdr:colOff>2876550</xdr:colOff>
      <xdr:row>142</xdr:row>
      <xdr:rowOff>104775</xdr:rowOff>
    </xdr:from>
    <xdr:to>
      <xdr:col>16</xdr:col>
      <xdr:colOff>257175</xdr:colOff>
      <xdr:row>142</xdr:row>
      <xdr:rowOff>180975</xdr:rowOff>
    </xdr:to>
    <xdr:pic>
      <xdr:nvPicPr>
        <xdr:cNvPr id="2" name="12 Imagen"/>
        <xdr:cNvPicPr preferRelativeResize="1">
          <a:picLocks noChangeAspect="1"/>
        </xdr:cNvPicPr>
      </xdr:nvPicPr>
      <xdr:blipFill>
        <a:blip r:embed="rId1"/>
        <a:stretch>
          <a:fillRect/>
        </a:stretch>
      </xdr:blipFill>
      <xdr:spPr>
        <a:xfrm>
          <a:off x="5067300" y="26793825"/>
          <a:ext cx="3390900" cy="76200"/>
        </a:xfrm>
        <a:prstGeom prst="rect">
          <a:avLst/>
        </a:prstGeom>
        <a:noFill/>
        <a:ln w="9525" cmpd="sng">
          <a:noFill/>
        </a:ln>
      </xdr:spPr>
    </xdr:pic>
    <xdr:clientData/>
  </xdr:twoCellAnchor>
  <xdr:twoCellAnchor editAs="oneCell">
    <xdr:from>
      <xdr:col>0</xdr:col>
      <xdr:colOff>190500</xdr:colOff>
      <xdr:row>142</xdr:row>
      <xdr:rowOff>85725</xdr:rowOff>
    </xdr:from>
    <xdr:to>
      <xdr:col>2</xdr:col>
      <xdr:colOff>1400175</xdr:colOff>
      <xdr:row>142</xdr:row>
      <xdr:rowOff>152400</xdr:rowOff>
    </xdr:to>
    <xdr:pic>
      <xdr:nvPicPr>
        <xdr:cNvPr id="3" name="12 Imagen"/>
        <xdr:cNvPicPr preferRelativeResize="1">
          <a:picLocks noChangeAspect="1"/>
        </xdr:cNvPicPr>
      </xdr:nvPicPr>
      <xdr:blipFill>
        <a:blip r:embed="rId1"/>
        <a:stretch>
          <a:fillRect/>
        </a:stretch>
      </xdr:blipFill>
      <xdr:spPr>
        <a:xfrm>
          <a:off x="190500" y="26774775"/>
          <a:ext cx="3400425" cy="66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1876425</xdr:colOff>
      <xdr:row>21</xdr:row>
      <xdr:rowOff>66675</xdr:rowOff>
    </xdr:from>
    <xdr:to>
      <xdr:col>3</xdr:col>
      <xdr:colOff>1343025</xdr:colOff>
      <xdr:row>21</xdr:row>
      <xdr:rowOff>142875</xdr:rowOff>
    </xdr:to>
    <xdr:pic>
      <xdr:nvPicPr>
        <xdr:cNvPr id="1" name="12 Imagen"/>
        <xdr:cNvPicPr preferRelativeResize="1">
          <a:picLocks noChangeAspect="1"/>
        </xdr:cNvPicPr>
      </xdr:nvPicPr>
      <xdr:blipFill>
        <a:blip r:embed="rId1"/>
        <a:stretch>
          <a:fillRect/>
        </a:stretch>
      </xdr:blipFill>
      <xdr:spPr>
        <a:xfrm>
          <a:off x="2638425" y="3933825"/>
          <a:ext cx="3400425" cy="76200"/>
        </a:xfrm>
        <a:prstGeom prst="rect">
          <a:avLst/>
        </a:prstGeom>
        <a:noFill/>
        <a:ln w="9525" cmpd="sng">
          <a:noFill/>
        </a:ln>
      </xdr:spPr>
    </xdr:pic>
    <xdr:clientData/>
  </xdr:twoCellAnchor>
  <xdr:twoCellAnchor editAs="oneCell">
    <xdr:from>
      <xdr:col>2</xdr:col>
      <xdr:colOff>1790700</xdr:colOff>
      <xdr:row>28</xdr:row>
      <xdr:rowOff>104775</xdr:rowOff>
    </xdr:from>
    <xdr:to>
      <xdr:col>3</xdr:col>
      <xdr:colOff>3390900</xdr:colOff>
      <xdr:row>28</xdr:row>
      <xdr:rowOff>180975</xdr:rowOff>
    </xdr:to>
    <xdr:pic>
      <xdr:nvPicPr>
        <xdr:cNvPr id="2" name="12 Imagen"/>
        <xdr:cNvPicPr preferRelativeResize="1">
          <a:picLocks noChangeAspect="1"/>
        </xdr:cNvPicPr>
      </xdr:nvPicPr>
      <xdr:blipFill>
        <a:blip r:embed="rId1"/>
        <a:stretch>
          <a:fillRect/>
        </a:stretch>
      </xdr:blipFill>
      <xdr:spPr>
        <a:xfrm>
          <a:off x="4695825" y="5295900"/>
          <a:ext cx="3390900" cy="76200"/>
        </a:xfrm>
        <a:prstGeom prst="rect">
          <a:avLst/>
        </a:prstGeom>
        <a:noFill/>
        <a:ln w="9525" cmpd="sng">
          <a:noFill/>
        </a:ln>
      </xdr:spPr>
    </xdr:pic>
    <xdr:clientData/>
  </xdr:twoCellAnchor>
  <xdr:twoCellAnchor editAs="oneCell">
    <xdr:from>
      <xdr:col>0</xdr:col>
      <xdr:colOff>190500</xdr:colOff>
      <xdr:row>28</xdr:row>
      <xdr:rowOff>85725</xdr:rowOff>
    </xdr:from>
    <xdr:to>
      <xdr:col>2</xdr:col>
      <xdr:colOff>685800</xdr:colOff>
      <xdr:row>28</xdr:row>
      <xdr:rowOff>152400</xdr:rowOff>
    </xdr:to>
    <xdr:pic>
      <xdr:nvPicPr>
        <xdr:cNvPr id="3" name="12 Imagen"/>
        <xdr:cNvPicPr preferRelativeResize="1">
          <a:picLocks noChangeAspect="1"/>
        </xdr:cNvPicPr>
      </xdr:nvPicPr>
      <xdr:blipFill>
        <a:blip r:embed="rId1"/>
        <a:stretch>
          <a:fillRect/>
        </a:stretch>
      </xdr:blipFill>
      <xdr:spPr>
        <a:xfrm>
          <a:off x="190500" y="5276850"/>
          <a:ext cx="3400425"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133350</xdr:rowOff>
    </xdr:from>
    <xdr:to>
      <xdr:col>1</xdr:col>
      <xdr:colOff>1828800</xdr:colOff>
      <xdr:row>47</xdr:row>
      <xdr:rowOff>19050</xdr:rowOff>
    </xdr:to>
    <xdr:pic>
      <xdr:nvPicPr>
        <xdr:cNvPr id="1" name="4 Imagen"/>
        <xdr:cNvPicPr preferRelativeResize="1">
          <a:picLocks noChangeAspect="1"/>
        </xdr:cNvPicPr>
      </xdr:nvPicPr>
      <xdr:blipFill>
        <a:blip r:embed="rId1"/>
        <a:stretch>
          <a:fillRect/>
        </a:stretch>
      </xdr:blipFill>
      <xdr:spPr>
        <a:xfrm>
          <a:off x="0" y="8391525"/>
          <a:ext cx="2371725" cy="76200"/>
        </a:xfrm>
        <a:prstGeom prst="rect">
          <a:avLst/>
        </a:prstGeom>
        <a:noFill/>
        <a:ln w="9525" cmpd="sng">
          <a:noFill/>
        </a:ln>
      </xdr:spPr>
    </xdr:pic>
    <xdr:clientData/>
  </xdr:twoCellAnchor>
  <xdr:twoCellAnchor editAs="oneCell">
    <xdr:from>
      <xdr:col>1</xdr:col>
      <xdr:colOff>3162300</xdr:colOff>
      <xdr:row>46</xdr:row>
      <xdr:rowOff>114300</xdr:rowOff>
    </xdr:from>
    <xdr:to>
      <xdr:col>5</xdr:col>
      <xdr:colOff>581025</xdr:colOff>
      <xdr:row>46</xdr:row>
      <xdr:rowOff>190500</xdr:rowOff>
    </xdr:to>
    <xdr:pic>
      <xdr:nvPicPr>
        <xdr:cNvPr id="2" name="4 Imagen"/>
        <xdr:cNvPicPr preferRelativeResize="1">
          <a:picLocks noChangeAspect="1"/>
        </xdr:cNvPicPr>
      </xdr:nvPicPr>
      <xdr:blipFill>
        <a:blip r:embed="rId1"/>
        <a:stretch>
          <a:fillRect/>
        </a:stretch>
      </xdr:blipFill>
      <xdr:spPr>
        <a:xfrm>
          <a:off x="3705225" y="8372475"/>
          <a:ext cx="2238375" cy="76200"/>
        </a:xfrm>
        <a:prstGeom prst="rect">
          <a:avLst/>
        </a:prstGeom>
        <a:noFill/>
        <a:ln w="9525" cmpd="sng">
          <a:noFill/>
        </a:ln>
      </xdr:spPr>
    </xdr:pic>
    <xdr:clientData/>
  </xdr:twoCellAnchor>
  <xdr:twoCellAnchor editAs="oneCell">
    <xdr:from>
      <xdr:col>1</xdr:col>
      <xdr:colOff>695325</xdr:colOff>
      <xdr:row>41</xdr:row>
      <xdr:rowOff>104775</xdr:rowOff>
    </xdr:from>
    <xdr:to>
      <xdr:col>4</xdr:col>
      <xdr:colOff>495300</xdr:colOff>
      <xdr:row>42</xdr:row>
      <xdr:rowOff>28575</xdr:rowOff>
    </xdr:to>
    <xdr:pic>
      <xdr:nvPicPr>
        <xdr:cNvPr id="3" name="5 Imagen"/>
        <xdr:cNvPicPr preferRelativeResize="1">
          <a:picLocks noChangeAspect="1"/>
        </xdr:cNvPicPr>
      </xdr:nvPicPr>
      <xdr:blipFill>
        <a:blip r:embed="rId2"/>
        <a:stretch>
          <a:fillRect/>
        </a:stretch>
      </xdr:blipFill>
      <xdr:spPr>
        <a:xfrm>
          <a:off x="1238250" y="7429500"/>
          <a:ext cx="3362325"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39</xdr:row>
      <xdr:rowOff>161925</xdr:rowOff>
    </xdr:from>
    <xdr:to>
      <xdr:col>12</xdr:col>
      <xdr:colOff>1095375</xdr:colOff>
      <xdr:row>40</xdr:row>
      <xdr:rowOff>114300</xdr:rowOff>
    </xdr:to>
    <xdr:pic>
      <xdr:nvPicPr>
        <xdr:cNvPr id="1" name="3 Imagen"/>
        <xdr:cNvPicPr preferRelativeResize="1">
          <a:picLocks noChangeAspect="1"/>
        </xdr:cNvPicPr>
      </xdr:nvPicPr>
      <xdr:blipFill>
        <a:blip r:embed="rId1"/>
        <a:stretch>
          <a:fillRect/>
        </a:stretch>
      </xdr:blipFill>
      <xdr:spPr>
        <a:xfrm>
          <a:off x="5915025" y="7858125"/>
          <a:ext cx="2705100" cy="142875"/>
        </a:xfrm>
        <a:prstGeom prst="rect">
          <a:avLst/>
        </a:prstGeom>
        <a:noFill/>
        <a:ln w="9525" cmpd="sng">
          <a:noFill/>
        </a:ln>
      </xdr:spPr>
    </xdr:pic>
    <xdr:clientData/>
  </xdr:twoCellAnchor>
  <xdr:twoCellAnchor editAs="oneCell">
    <xdr:from>
      <xdr:col>4</xdr:col>
      <xdr:colOff>257175</xdr:colOff>
      <xdr:row>34</xdr:row>
      <xdr:rowOff>66675</xdr:rowOff>
    </xdr:from>
    <xdr:to>
      <xdr:col>10</xdr:col>
      <xdr:colOff>200025</xdr:colOff>
      <xdr:row>34</xdr:row>
      <xdr:rowOff>190500</xdr:rowOff>
    </xdr:to>
    <xdr:pic>
      <xdr:nvPicPr>
        <xdr:cNvPr id="2" name="5 Imagen"/>
        <xdr:cNvPicPr preferRelativeResize="1">
          <a:picLocks noChangeAspect="1"/>
        </xdr:cNvPicPr>
      </xdr:nvPicPr>
      <xdr:blipFill>
        <a:blip r:embed="rId2"/>
        <a:stretch>
          <a:fillRect/>
        </a:stretch>
      </xdr:blipFill>
      <xdr:spPr>
        <a:xfrm>
          <a:off x="3114675" y="6819900"/>
          <a:ext cx="3400425" cy="123825"/>
        </a:xfrm>
        <a:prstGeom prst="rect">
          <a:avLst/>
        </a:prstGeom>
        <a:noFill/>
        <a:ln w="9525" cmpd="sng">
          <a:noFill/>
        </a:ln>
      </xdr:spPr>
    </xdr:pic>
    <xdr:clientData/>
  </xdr:twoCellAnchor>
  <xdr:twoCellAnchor editAs="oneCell">
    <xdr:from>
      <xdr:col>2</xdr:col>
      <xdr:colOff>0</xdr:colOff>
      <xdr:row>40</xdr:row>
      <xdr:rowOff>0</xdr:rowOff>
    </xdr:from>
    <xdr:to>
      <xdr:col>4</xdr:col>
      <xdr:colOff>190500</xdr:colOff>
      <xdr:row>40</xdr:row>
      <xdr:rowOff>142875</xdr:rowOff>
    </xdr:to>
    <xdr:pic>
      <xdr:nvPicPr>
        <xdr:cNvPr id="3" name="1 Imagen"/>
        <xdr:cNvPicPr preferRelativeResize="1">
          <a:picLocks noChangeAspect="1"/>
        </xdr:cNvPicPr>
      </xdr:nvPicPr>
      <xdr:blipFill>
        <a:blip r:embed="rId3"/>
        <a:stretch>
          <a:fillRect/>
        </a:stretch>
      </xdr:blipFill>
      <xdr:spPr>
        <a:xfrm>
          <a:off x="333375" y="7886700"/>
          <a:ext cx="271462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76</xdr:row>
      <xdr:rowOff>114300</xdr:rowOff>
    </xdr:from>
    <xdr:to>
      <xdr:col>4</xdr:col>
      <xdr:colOff>1447800</xdr:colOff>
      <xdr:row>77</xdr:row>
      <xdr:rowOff>19050</xdr:rowOff>
    </xdr:to>
    <xdr:pic>
      <xdr:nvPicPr>
        <xdr:cNvPr id="1" name="12 Imagen"/>
        <xdr:cNvPicPr preferRelativeResize="1">
          <a:picLocks noChangeAspect="1"/>
        </xdr:cNvPicPr>
      </xdr:nvPicPr>
      <xdr:blipFill>
        <a:blip r:embed="rId1"/>
        <a:stretch>
          <a:fillRect/>
        </a:stretch>
      </xdr:blipFill>
      <xdr:spPr>
        <a:xfrm>
          <a:off x="4495800" y="8963025"/>
          <a:ext cx="3124200" cy="95250"/>
        </a:xfrm>
        <a:prstGeom prst="rect">
          <a:avLst/>
        </a:prstGeom>
        <a:noFill/>
        <a:ln w="9525" cmpd="sng">
          <a:noFill/>
        </a:ln>
      </xdr:spPr>
    </xdr:pic>
    <xdr:clientData/>
  </xdr:twoCellAnchor>
  <xdr:twoCellAnchor editAs="oneCell">
    <xdr:from>
      <xdr:col>1</xdr:col>
      <xdr:colOff>1685925</xdr:colOff>
      <xdr:row>70</xdr:row>
      <xdr:rowOff>76200</xdr:rowOff>
    </xdr:from>
    <xdr:to>
      <xdr:col>3</xdr:col>
      <xdr:colOff>1057275</xdr:colOff>
      <xdr:row>70</xdr:row>
      <xdr:rowOff>190500</xdr:rowOff>
    </xdr:to>
    <xdr:pic>
      <xdr:nvPicPr>
        <xdr:cNvPr id="2" name="12 Imagen"/>
        <xdr:cNvPicPr preferRelativeResize="1">
          <a:picLocks noChangeAspect="1"/>
        </xdr:cNvPicPr>
      </xdr:nvPicPr>
      <xdr:blipFill>
        <a:blip r:embed="rId2"/>
        <a:stretch>
          <a:fillRect/>
        </a:stretch>
      </xdr:blipFill>
      <xdr:spPr>
        <a:xfrm>
          <a:off x="2447925" y="7820025"/>
          <a:ext cx="3667125" cy="114300"/>
        </a:xfrm>
        <a:prstGeom prst="rect">
          <a:avLst/>
        </a:prstGeom>
        <a:noFill/>
        <a:ln w="9525" cmpd="sng">
          <a:noFill/>
        </a:ln>
      </xdr:spPr>
    </xdr:pic>
    <xdr:clientData/>
  </xdr:twoCellAnchor>
  <xdr:twoCellAnchor editAs="oneCell">
    <xdr:from>
      <xdr:col>0</xdr:col>
      <xdr:colOff>0</xdr:colOff>
      <xdr:row>76</xdr:row>
      <xdr:rowOff>104775</xdr:rowOff>
    </xdr:from>
    <xdr:to>
      <xdr:col>1</xdr:col>
      <xdr:colOff>2390775</xdr:colOff>
      <xdr:row>76</xdr:row>
      <xdr:rowOff>190500</xdr:rowOff>
    </xdr:to>
    <xdr:pic>
      <xdr:nvPicPr>
        <xdr:cNvPr id="3" name="12 Imagen"/>
        <xdr:cNvPicPr preferRelativeResize="1">
          <a:picLocks noChangeAspect="1"/>
        </xdr:cNvPicPr>
      </xdr:nvPicPr>
      <xdr:blipFill>
        <a:blip r:embed="rId2"/>
        <a:stretch>
          <a:fillRect/>
        </a:stretch>
      </xdr:blipFill>
      <xdr:spPr>
        <a:xfrm>
          <a:off x="0" y="8953500"/>
          <a:ext cx="3152775" cy="85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45</xdr:row>
      <xdr:rowOff>95250</xdr:rowOff>
    </xdr:from>
    <xdr:to>
      <xdr:col>2</xdr:col>
      <xdr:colOff>800100</xdr:colOff>
      <xdr:row>45</xdr:row>
      <xdr:rowOff>190500</xdr:rowOff>
    </xdr:to>
    <xdr:pic>
      <xdr:nvPicPr>
        <xdr:cNvPr id="1" name="4 Imagen"/>
        <xdr:cNvPicPr preferRelativeResize="1">
          <a:picLocks noChangeAspect="1"/>
        </xdr:cNvPicPr>
      </xdr:nvPicPr>
      <xdr:blipFill>
        <a:blip r:embed="rId1"/>
        <a:stretch>
          <a:fillRect/>
        </a:stretch>
      </xdr:blipFill>
      <xdr:spPr>
        <a:xfrm>
          <a:off x="323850" y="6829425"/>
          <a:ext cx="2733675" cy="95250"/>
        </a:xfrm>
        <a:prstGeom prst="rect">
          <a:avLst/>
        </a:prstGeom>
        <a:noFill/>
        <a:ln w="9525" cmpd="sng">
          <a:noFill/>
        </a:ln>
      </xdr:spPr>
    </xdr:pic>
    <xdr:clientData/>
  </xdr:twoCellAnchor>
  <xdr:twoCellAnchor editAs="oneCell">
    <xdr:from>
      <xdr:col>3</xdr:col>
      <xdr:colOff>828675</xdr:colOff>
      <xdr:row>45</xdr:row>
      <xdr:rowOff>66675</xdr:rowOff>
    </xdr:from>
    <xdr:to>
      <xdr:col>5</xdr:col>
      <xdr:colOff>1085850</xdr:colOff>
      <xdr:row>45</xdr:row>
      <xdr:rowOff>161925</xdr:rowOff>
    </xdr:to>
    <xdr:pic>
      <xdr:nvPicPr>
        <xdr:cNvPr id="2" name="4 Imagen"/>
        <xdr:cNvPicPr preferRelativeResize="1">
          <a:picLocks noChangeAspect="1"/>
        </xdr:cNvPicPr>
      </xdr:nvPicPr>
      <xdr:blipFill>
        <a:blip r:embed="rId1"/>
        <a:stretch>
          <a:fillRect/>
        </a:stretch>
      </xdr:blipFill>
      <xdr:spPr>
        <a:xfrm>
          <a:off x="4076700" y="6800850"/>
          <a:ext cx="2733675" cy="95250"/>
        </a:xfrm>
        <a:prstGeom prst="rect">
          <a:avLst/>
        </a:prstGeom>
        <a:noFill/>
        <a:ln w="9525" cmpd="sng">
          <a:noFill/>
        </a:ln>
      </xdr:spPr>
    </xdr:pic>
    <xdr:clientData/>
  </xdr:twoCellAnchor>
  <xdr:twoCellAnchor editAs="oneCell">
    <xdr:from>
      <xdr:col>2</xdr:col>
      <xdr:colOff>104775</xdr:colOff>
      <xdr:row>38</xdr:row>
      <xdr:rowOff>123825</xdr:rowOff>
    </xdr:from>
    <xdr:to>
      <xdr:col>4</xdr:col>
      <xdr:colOff>790575</xdr:colOff>
      <xdr:row>39</xdr:row>
      <xdr:rowOff>57150</xdr:rowOff>
    </xdr:to>
    <xdr:pic>
      <xdr:nvPicPr>
        <xdr:cNvPr id="3" name="4 Imagen"/>
        <xdr:cNvPicPr preferRelativeResize="1">
          <a:picLocks noChangeAspect="1"/>
        </xdr:cNvPicPr>
      </xdr:nvPicPr>
      <xdr:blipFill>
        <a:blip r:embed="rId1"/>
        <a:stretch>
          <a:fillRect/>
        </a:stretch>
      </xdr:blipFill>
      <xdr:spPr>
        <a:xfrm>
          <a:off x="2362200" y="5572125"/>
          <a:ext cx="2819400" cy="123825"/>
        </a:xfrm>
        <a:prstGeom prst="rect">
          <a:avLst/>
        </a:prstGeom>
        <a:noFill/>
        <a:ln w="9525" cmpd="sng">
          <a:noFill/>
        </a:ln>
      </xdr:spPr>
    </xdr:pic>
    <xdr:clientData/>
  </xdr:twoCellAnchor>
  <xdr:twoCellAnchor editAs="oneCell">
    <xdr:from>
      <xdr:col>1</xdr:col>
      <xdr:colOff>0</xdr:colOff>
      <xdr:row>45</xdr:row>
      <xdr:rowOff>95250</xdr:rowOff>
    </xdr:from>
    <xdr:to>
      <xdr:col>2</xdr:col>
      <xdr:colOff>800100</xdr:colOff>
      <xdr:row>45</xdr:row>
      <xdr:rowOff>190500</xdr:rowOff>
    </xdr:to>
    <xdr:pic>
      <xdr:nvPicPr>
        <xdr:cNvPr id="4" name="4 Imagen"/>
        <xdr:cNvPicPr preferRelativeResize="1">
          <a:picLocks noChangeAspect="1"/>
        </xdr:cNvPicPr>
      </xdr:nvPicPr>
      <xdr:blipFill>
        <a:blip r:embed="rId1"/>
        <a:stretch>
          <a:fillRect/>
        </a:stretch>
      </xdr:blipFill>
      <xdr:spPr>
        <a:xfrm>
          <a:off x="323850" y="6829425"/>
          <a:ext cx="2733675" cy="95250"/>
        </a:xfrm>
        <a:prstGeom prst="rect">
          <a:avLst/>
        </a:prstGeom>
        <a:noFill/>
        <a:ln w="9525" cmpd="sng">
          <a:noFill/>
        </a:ln>
      </xdr:spPr>
    </xdr:pic>
    <xdr:clientData/>
  </xdr:twoCellAnchor>
  <xdr:twoCellAnchor editAs="oneCell">
    <xdr:from>
      <xdr:col>3</xdr:col>
      <xdr:colOff>828675</xdr:colOff>
      <xdr:row>45</xdr:row>
      <xdr:rowOff>66675</xdr:rowOff>
    </xdr:from>
    <xdr:to>
      <xdr:col>5</xdr:col>
      <xdr:colOff>1085850</xdr:colOff>
      <xdr:row>45</xdr:row>
      <xdr:rowOff>161925</xdr:rowOff>
    </xdr:to>
    <xdr:pic>
      <xdr:nvPicPr>
        <xdr:cNvPr id="5" name="4 Imagen"/>
        <xdr:cNvPicPr preferRelativeResize="1">
          <a:picLocks noChangeAspect="1"/>
        </xdr:cNvPicPr>
      </xdr:nvPicPr>
      <xdr:blipFill>
        <a:blip r:embed="rId1"/>
        <a:stretch>
          <a:fillRect/>
        </a:stretch>
      </xdr:blipFill>
      <xdr:spPr>
        <a:xfrm>
          <a:off x="4076700" y="6800850"/>
          <a:ext cx="2733675" cy="95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0</xdr:row>
      <xdr:rowOff>0</xdr:rowOff>
    </xdr:from>
    <xdr:to>
      <xdr:col>15</xdr:col>
      <xdr:colOff>209550</xdr:colOff>
      <xdr:row>4</xdr:row>
      <xdr:rowOff>304800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3209925" y="0"/>
          <a:ext cx="421005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1600200</xdr:colOff>
      <xdr:row>0</xdr:row>
      <xdr:rowOff>85725</xdr:rowOff>
    </xdr:from>
    <xdr:to>
      <xdr:col>9</xdr:col>
      <xdr:colOff>876300</xdr:colOff>
      <xdr:row>4</xdr:row>
      <xdr:rowOff>152400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3019425" y="85725"/>
          <a:ext cx="4219575"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2647950</xdr:colOff>
      <xdr:row>220</xdr:row>
      <xdr:rowOff>95250</xdr:rowOff>
    </xdr:from>
    <xdr:ext cx="180975" cy="266700"/>
    <xdr:sp fLocksText="0">
      <xdr:nvSpPr>
        <xdr:cNvPr id="1" name="1 CuadroTexto"/>
        <xdr:cNvSpPr txBox="1">
          <a:spLocks noChangeArrowheads="1"/>
        </xdr:cNvSpPr>
      </xdr:nvSpPr>
      <xdr:spPr>
        <a:xfrm>
          <a:off x="3019425" y="380714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1190625</xdr:colOff>
      <xdr:row>3</xdr:row>
      <xdr:rowOff>9525</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0" y="0"/>
          <a:ext cx="2905125" cy="600075"/>
        </a:xfrm>
        <a:prstGeom prst="rect">
          <a:avLst/>
        </a:prstGeom>
        <a:noFill/>
        <a:ln w="9525" cmpd="sng">
          <a:noFill/>
        </a:ln>
      </xdr:spPr>
    </xdr:pic>
    <xdr:clientData/>
  </xdr:twoCellAnchor>
  <xdr:twoCellAnchor editAs="oneCell">
    <xdr:from>
      <xdr:col>2</xdr:col>
      <xdr:colOff>371475</xdr:colOff>
      <xdr:row>95</xdr:row>
      <xdr:rowOff>104775</xdr:rowOff>
    </xdr:from>
    <xdr:to>
      <xdr:col>2</xdr:col>
      <xdr:colOff>3781425</xdr:colOff>
      <xdr:row>95</xdr:row>
      <xdr:rowOff>171450</xdr:rowOff>
    </xdr:to>
    <xdr:pic>
      <xdr:nvPicPr>
        <xdr:cNvPr id="2" name="12 Imagen"/>
        <xdr:cNvPicPr preferRelativeResize="1">
          <a:picLocks noChangeAspect="1"/>
        </xdr:cNvPicPr>
      </xdr:nvPicPr>
      <xdr:blipFill>
        <a:blip r:embed="rId2"/>
        <a:stretch>
          <a:fillRect/>
        </a:stretch>
      </xdr:blipFill>
      <xdr:spPr>
        <a:xfrm>
          <a:off x="3790950" y="71847075"/>
          <a:ext cx="3409950" cy="66675"/>
        </a:xfrm>
        <a:prstGeom prst="rect">
          <a:avLst/>
        </a:prstGeom>
        <a:noFill/>
        <a:ln w="9525" cmpd="sng">
          <a:noFill/>
        </a:ln>
      </xdr:spPr>
    </xdr:pic>
    <xdr:clientData/>
  </xdr:twoCellAnchor>
  <xdr:twoCellAnchor editAs="oneCell">
    <xdr:from>
      <xdr:col>2</xdr:col>
      <xdr:colOff>2876550</xdr:colOff>
      <xdr:row>100</xdr:row>
      <xdr:rowOff>104775</xdr:rowOff>
    </xdr:from>
    <xdr:to>
      <xdr:col>5</xdr:col>
      <xdr:colOff>266700</xdr:colOff>
      <xdr:row>100</xdr:row>
      <xdr:rowOff>180975</xdr:rowOff>
    </xdr:to>
    <xdr:pic>
      <xdr:nvPicPr>
        <xdr:cNvPr id="3" name="12 Imagen"/>
        <xdr:cNvPicPr preferRelativeResize="1">
          <a:picLocks noChangeAspect="1"/>
        </xdr:cNvPicPr>
      </xdr:nvPicPr>
      <xdr:blipFill>
        <a:blip r:embed="rId2"/>
        <a:stretch>
          <a:fillRect/>
        </a:stretch>
      </xdr:blipFill>
      <xdr:spPr>
        <a:xfrm>
          <a:off x="6296025" y="72837675"/>
          <a:ext cx="3390900" cy="76200"/>
        </a:xfrm>
        <a:prstGeom prst="rect">
          <a:avLst/>
        </a:prstGeom>
        <a:noFill/>
        <a:ln w="9525" cmpd="sng">
          <a:noFill/>
        </a:ln>
      </xdr:spPr>
    </xdr:pic>
    <xdr:clientData/>
  </xdr:twoCellAnchor>
  <xdr:twoCellAnchor editAs="oneCell">
    <xdr:from>
      <xdr:col>0</xdr:col>
      <xdr:colOff>190500</xdr:colOff>
      <xdr:row>100</xdr:row>
      <xdr:rowOff>85725</xdr:rowOff>
    </xdr:from>
    <xdr:to>
      <xdr:col>2</xdr:col>
      <xdr:colOff>171450</xdr:colOff>
      <xdr:row>100</xdr:row>
      <xdr:rowOff>152400</xdr:rowOff>
    </xdr:to>
    <xdr:pic>
      <xdr:nvPicPr>
        <xdr:cNvPr id="4" name="12 Imagen"/>
        <xdr:cNvPicPr preferRelativeResize="1">
          <a:picLocks noChangeAspect="1"/>
        </xdr:cNvPicPr>
      </xdr:nvPicPr>
      <xdr:blipFill>
        <a:blip r:embed="rId2"/>
        <a:stretch>
          <a:fillRect/>
        </a:stretch>
      </xdr:blipFill>
      <xdr:spPr>
        <a:xfrm>
          <a:off x="190500" y="72818625"/>
          <a:ext cx="3400425" cy="66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acosta\Desktop\Enc.%20Contabilidad%20YENNY%20ACOSTA\Informaci&#243;n%20Financiera%202019\Estados%20Financieros%20al%2030%20de%20Junio%20%20del%202019\ESTADOS%20FINANCIEROS%20INTERNOS%20%20AL%2030%20DE%20JUNIO%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stados%20Financieros%202020\Balanza%20de%20Comprobaci&#243;n%202020.csv"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y.acosta\AppData\Local\Microsoft\Windows\Temporary%20Internet%20Files\Content.Outlook\M8ITPAAZ\Balanza%20de%20Comprobaci&#243;n%20al%2031%20de%20Diciembre%20del%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y.acosta\Desktop\Enc.%20Contabilidad%20YENNY%20ACOSTA\Informaci&#243;n%20Financiera%202020\Estados%20Financieros%20al%2031%20de%20Diciembre%20del%202020\FORMATO%20EEFF%20CIERRE%202020-ONAPI-REVISADO%20POR%20LA%20DIGECOG.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y.acosta\Desktop\Enc.%20Contabilidad%20YENNY%20ACOSTA\Informaci&#243;n%20Financiera%202020\Estados%20Financieros%20al%2030%20de%20Junio%20del%202020\FORMATO%20EEFF%20CIERRE%2030062020-ONAP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Yenny%20Acosta\Downloads\Comparativo%20Ejecuci&#243;n%20Presupuestaria%20(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y.acosta\Desktop\Export3.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GENERAL"/>
      <sheetName val="RESULTADOS"/>
      <sheetName val="CAMBIO PATRIMONIO"/>
      <sheetName val="Notas al Estado de Situación"/>
      <sheetName val="Hoja2"/>
      <sheetName val="Depreciación Acumulada"/>
      <sheetName val="Notas Estado de Resultados"/>
      <sheetName val="Label"/>
      <sheetName val="Nota Estado de Resultados Ing."/>
      <sheetName val="Hoja1"/>
      <sheetName val="Check List"/>
      <sheetName val="Hoja3"/>
      <sheetName val="Depreciación Cati -Pto. Plata"/>
    </sheetNames>
    <sheetDataSet>
      <sheetData sheetId="5">
        <row r="67">
          <cell r="H67" t="str">
            <v>ok</v>
          </cell>
        </row>
        <row r="68">
          <cell r="D68">
            <v>4995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za de Comprobación 2020"/>
    </sheetNames>
    <sheetDataSet>
      <sheetData sheetId="0">
        <row r="156">
          <cell r="I156">
            <v>-13645284.2</v>
          </cell>
        </row>
        <row r="223">
          <cell r="I223">
            <v>-246294.21</v>
          </cell>
        </row>
        <row r="258">
          <cell r="I258">
            <v>-76050011.35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2"/>
    </sheetNames>
    <sheetDataSet>
      <sheetData sheetId="0">
        <row r="207">
          <cell r="I207">
            <v>-78445037.67999999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F - Situación Financiera"/>
      <sheetName val="Flujo de Efectivo"/>
      <sheetName val=" ERF-Rendimiento Financiero"/>
      <sheetName val="ECANP-Cambio Patrimonio"/>
    </sheetNames>
    <sheetDataSet>
      <sheetData sheetId="0">
        <row r="1">
          <cell r="A1" t="str">
            <v>OFICINA NACIONAL DE LA PROPIEDAD INDUSTRIAL(ONAPI)</v>
          </cell>
        </row>
      </sheetData>
      <sheetData sheetId="2">
        <row r="27">
          <cell r="E27">
            <v>52128331.360000074</v>
          </cell>
          <cell r="G27">
            <v>30252545.27000004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s>
    <sheetDataSet>
      <sheetData sheetId="0">
        <row r="1">
          <cell r="A1" t="str">
            <v>OFICINA NACIONAL DE LA PROPIEDAD INDUSTRIAL(ONAPI)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 val="EFE-Flujo de Efectivo"/>
      <sheetName val="Estado Comparativo"/>
    </sheetNames>
    <sheetDataSet>
      <sheetData sheetId="0">
        <row r="1">
          <cell r="A1" t="str">
            <v>OFICINA NACIONAL DE LA PROPIEDAD INDUSTRIAL(ONAPI)</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port3"/>
    </sheetNames>
    <sheetDataSet>
      <sheetData sheetId="0">
        <row r="31">
          <cell r="I31">
            <v>38473107.88</v>
          </cell>
        </row>
        <row r="55">
          <cell r="J55">
            <v>16413549.52</v>
          </cell>
        </row>
        <row r="114">
          <cell r="I114">
            <v>-22086104.69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70"/>
  <sheetViews>
    <sheetView showGridLines="0" zoomScale="89" zoomScaleNormal="89" workbookViewId="0" topLeftCell="A28">
      <selection activeCell="K57" sqref="K57"/>
    </sheetView>
  </sheetViews>
  <sheetFormatPr defaultColWidth="11.421875" defaultRowHeight="15"/>
  <cols>
    <col min="1" max="1" width="6.7109375" style="225" customWidth="1"/>
    <col min="2" max="2" width="51.57421875" style="225" customWidth="1"/>
    <col min="3" max="3" width="1.7109375" style="225" customWidth="1"/>
    <col min="4" max="4" width="16.7109375" style="225" customWidth="1"/>
    <col min="5" max="5" width="18.421875" style="225" customWidth="1"/>
    <col min="6" max="6" width="18.421875" style="225" hidden="1" customWidth="1"/>
    <col min="7" max="7" width="14.8515625" style="225" hidden="1" customWidth="1"/>
    <col min="8" max="8" width="0.85546875" style="225" hidden="1" customWidth="1"/>
    <col min="9" max="9" width="0.13671875" style="225" customWidth="1"/>
    <col min="10" max="10" width="3.7109375" style="225" customWidth="1"/>
    <col min="11" max="11" width="87.421875" style="225" customWidth="1"/>
    <col min="12" max="12" width="15.28125" style="225" hidden="1" customWidth="1"/>
    <col min="13" max="13" width="3.7109375" style="225" customWidth="1"/>
    <col min="14" max="16" width="11.421875" style="225" customWidth="1"/>
    <col min="17" max="16384" width="11.421875" style="226" customWidth="1"/>
  </cols>
  <sheetData>
    <row r="1" spans="1:9" ht="15">
      <c r="A1" s="803" t="s">
        <v>682</v>
      </c>
      <c r="B1" s="803"/>
      <c r="C1" s="803"/>
      <c r="D1" s="803"/>
      <c r="E1" s="803"/>
      <c r="F1" s="803"/>
      <c r="G1" s="803"/>
      <c r="H1" s="803"/>
      <c r="I1" s="803"/>
    </row>
    <row r="2" spans="1:9" ht="15">
      <c r="A2" s="803" t="s">
        <v>683</v>
      </c>
      <c r="B2" s="803"/>
      <c r="C2" s="803"/>
      <c r="D2" s="803"/>
      <c r="E2" s="803"/>
      <c r="F2" s="803"/>
      <c r="G2" s="803"/>
      <c r="H2" s="803"/>
      <c r="I2" s="803"/>
    </row>
    <row r="3" spans="1:9" ht="15">
      <c r="A3" s="803" t="s">
        <v>1023</v>
      </c>
      <c r="B3" s="803"/>
      <c r="C3" s="803"/>
      <c r="D3" s="803"/>
      <c r="E3" s="803"/>
      <c r="F3" s="803"/>
      <c r="G3" s="803"/>
      <c r="H3" s="803"/>
      <c r="I3" s="803"/>
    </row>
    <row r="4" spans="1:9" ht="15">
      <c r="A4" s="803" t="s">
        <v>684</v>
      </c>
      <c r="B4" s="803"/>
      <c r="C4" s="803"/>
      <c r="D4" s="803"/>
      <c r="E4" s="803"/>
      <c r="F4" s="803"/>
      <c r="G4" s="803"/>
      <c r="H4" s="803"/>
      <c r="I4" s="803"/>
    </row>
    <row r="5" spans="1:9" ht="15">
      <c r="A5" s="529"/>
      <c r="B5" s="529"/>
      <c r="C5" s="529"/>
      <c r="D5" s="529"/>
      <c r="E5" s="529"/>
      <c r="F5" s="529"/>
      <c r="G5" s="529"/>
      <c r="H5" s="529"/>
      <c r="I5" s="529"/>
    </row>
    <row r="6" spans="1:9" ht="15">
      <c r="A6" s="529"/>
      <c r="B6" s="529"/>
      <c r="C6" s="529"/>
      <c r="D6" s="529"/>
      <c r="E6" s="529"/>
      <c r="F6" s="529"/>
      <c r="G6" s="529"/>
      <c r="H6" s="529"/>
      <c r="I6" s="529"/>
    </row>
    <row r="7" spans="1:9" ht="14.25">
      <c r="A7" s="343"/>
      <c r="B7" s="344"/>
      <c r="C7" s="344"/>
      <c r="D7" s="344"/>
      <c r="E7" s="344"/>
      <c r="F7" s="344"/>
      <c r="G7" s="343"/>
      <c r="H7" s="343"/>
      <c r="I7" s="343"/>
    </row>
    <row r="8" spans="1:9" ht="14.25">
      <c r="A8" s="343"/>
      <c r="B8" s="343"/>
      <c r="C8" s="343"/>
      <c r="D8" s="345">
        <v>2023</v>
      </c>
      <c r="E8" s="345">
        <v>2022</v>
      </c>
      <c r="F8" s="345">
        <v>2021</v>
      </c>
      <c r="G8" s="345">
        <v>2020</v>
      </c>
      <c r="H8" s="346"/>
      <c r="I8" s="345">
        <v>2019</v>
      </c>
    </row>
    <row r="9" spans="1:16" ht="14.25">
      <c r="A9" s="347" t="s">
        <v>685</v>
      </c>
      <c r="B9" s="348"/>
      <c r="C9" s="348"/>
      <c r="D9" s="348"/>
      <c r="E9" s="348"/>
      <c r="F9" s="348"/>
      <c r="G9" s="349"/>
      <c r="H9" s="350"/>
      <c r="I9" s="349"/>
      <c r="J9" s="230"/>
      <c r="K9" s="230"/>
      <c r="L9" s="230"/>
      <c r="M9" s="230"/>
      <c r="N9" s="230"/>
      <c r="O9" s="230"/>
      <c r="P9" s="230"/>
    </row>
    <row r="10" spans="1:16" ht="14.25">
      <c r="A10" s="347" t="s">
        <v>686</v>
      </c>
      <c r="B10" s="348"/>
      <c r="C10" s="348"/>
      <c r="D10" s="348"/>
      <c r="E10" s="348"/>
      <c r="F10" s="348"/>
      <c r="G10" s="350"/>
      <c r="H10" s="350"/>
      <c r="I10" s="350"/>
      <c r="J10" s="230"/>
      <c r="K10" s="230"/>
      <c r="L10" s="230"/>
      <c r="M10" s="230"/>
      <c r="N10" s="230"/>
      <c r="O10" s="230"/>
      <c r="P10" s="230"/>
    </row>
    <row r="11" spans="1:16" ht="14.25">
      <c r="A11" s="241"/>
      <c r="B11" s="241" t="s">
        <v>687</v>
      </c>
      <c r="C11" s="241"/>
      <c r="D11" s="466">
        <f>+'Notas Estado de Situación'!O64</f>
        <v>312505095.37999994</v>
      </c>
      <c r="E11" s="351">
        <f>+'Notas Estado de Situación'!P64</f>
        <v>329785450.79999995</v>
      </c>
      <c r="F11" s="351">
        <f>+'Notas Estado de Situación'!Q64</f>
        <v>293326330.75000006</v>
      </c>
      <c r="G11" s="351">
        <v>206290774.21</v>
      </c>
      <c r="H11" s="352"/>
      <c r="I11" s="351">
        <v>166164338.88</v>
      </c>
      <c r="J11" s="230"/>
      <c r="K11" s="230"/>
      <c r="L11" s="234">
        <f aca="true" t="shared" si="0" ref="L11:L18">+G11+I11</f>
        <v>372455113.09000003</v>
      </c>
      <c r="M11" s="230"/>
      <c r="N11" s="235"/>
      <c r="O11" s="230"/>
      <c r="P11" s="230"/>
    </row>
    <row r="12" spans="1:16" s="4" customFormat="1" ht="15" customHeight="1" hidden="1">
      <c r="A12" s="240"/>
      <c r="B12" s="241" t="s">
        <v>688</v>
      </c>
      <c r="C12" s="241"/>
      <c r="D12" s="466"/>
      <c r="E12" s="241"/>
      <c r="F12" s="241"/>
      <c r="G12" s="244">
        <v>0</v>
      </c>
      <c r="H12" s="353"/>
      <c r="I12" s="244">
        <v>0</v>
      </c>
      <c r="J12" s="231"/>
      <c r="K12" s="231"/>
      <c r="L12" s="236">
        <f t="shared" si="0"/>
        <v>0</v>
      </c>
      <c r="M12" s="231"/>
      <c r="N12" s="237"/>
      <c r="O12" s="231"/>
      <c r="P12" s="231"/>
    </row>
    <row r="13" spans="1:16" s="4" customFormat="1" ht="15" customHeight="1" hidden="1">
      <c r="A13" s="240"/>
      <c r="B13" s="241" t="s">
        <v>689</v>
      </c>
      <c r="C13" s="241"/>
      <c r="D13" s="466"/>
      <c r="E13" s="241"/>
      <c r="F13" s="241"/>
      <c r="G13" s="244">
        <v>0</v>
      </c>
      <c r="H13" s="353"/>
      <c r="I13" s="244">
        <v>0</v>
      </c>
      <c r="J13" s="231"/>
      <c r="K13" s="231"/>
      <c r="L13" s="236">
        <f t="shared" si="0"/>
        <v>0</v>
      </c>
      <c r="M13" s="231"/>
      <c r="N13" s="237"/>
      <c r="O13" s="231"/>
      <c r="P13" s="231"/>
    </row>
    <row r="14" spans="1:16" s="4" customFormat="1" ht="14.25">
      <c r="A14" s="240"/>
      <c r="B14" s="241" t="s">
        <v>690</v>
      </c>
      <c r="C14" s="241"/>
      <c r="D14" s="466">
        <f>+'Notas Estado de Situación'!O121</f>
        <v>2587162.88</v>
      </c>
      <c r="E14" s="351">
        <f>+'Notas Estado de Situación'!P121</f>
        <v>2585902.88</v>
      </c>
      <c r="F14" s="351">
        <f>+'Notas Estado de Situación'!Q121</f>
        <v>2585902.88</v>
      </c>
      <c r="G14" s="244">
        <v>2595686.97</v>
      </c>
      <c r="H14" s="353"/>
      <c r="I14" s="244">
        <v>2832033.81</v>
      </c>
      <c r="J14" s="231"/>
      <c r="K14" s="240"/>
      <c r="L14" s="236">
        <f t="shared" si="0"/>
        <v>5427720.78</v>
      </c>
      <c r="M14" s="231"/>
      <c r="N14" s="237"/>
      <c r="O14" s="231"/>
      <c r="P14" s="231"/>
    </row>
    <row r="15" spans="1:16" ht="14.25">
      <c r="A15" s="241"/>
      <c r="B15" s="241" t="s">
        <v>691</v>
      </c>
      <c r="C15" s="241"/>
      <c r="D15" s="466">
        <f>+'Notas Estado de Situación'!O159</f>
        <v>9798665.350000001</v>
      </c>
      <c r="E15" s="351">
        <f>+'Notas Estado de Situación'!P159</f>
        <v>7426633.02</v>
      </c>
      <c r="F15" s="351">
        <f>+'Notas Estado de Situación'!Q159</f>
        <v>5087648.260000001</v>
      </c>
      <c r="G15" s="244">
        <v>5305865.5</v>
      </c>
      <c r="H15" s="353"/>
      <c r="I15" s="244">
        <v>4433464.07</v>
      </c>
      <c r="J15" s="230"/>
      <c r="K15" s="241"/>
      <c r="L15" s="234">
        <f t="shared" si="0"/>
        <v>9739329.57</v>
      </c>
      <c r="M15" s="230"/>
      <c r="N15" s="235"/>
      <c r="O15" s="230"/>
      <c r="P15" s="230"/>
    </row>
    <row r="16" spans="1:16" s="4" customFormat="1" ht="14.25">
      <c r="A16" s="240"/>
      <c r="B16" s="241" t="s">
        <v>692</v>
      </c>
      <c r="C16" s="241"/>
      <c r="D16" s="467">
        <f>++'Notas Estado de Situación'!O173</f>
        <v>1990628.2599999998</v>
      </c>
      <c r="E16" s="359">
        <f>+'Notas Estado de Situación'!P173</f>
        <v>1816808.83</v>
      </c>
      <c r="F16" s="359">
        <f>+'Notas Estado de Situación'!Q173</f>
        <v>2340996.24</v>
      </c>
      <c r="G16" s="360">
        <v>1468138.54</v>
      </c>
      <c r="H16" s="353"/>
      <c r="I16" s="244">
        <v>1495154.42</v>
      </c>
      <c r="J16" s="238"/>
      <c r="K16" s="240"/>
      <c r="L16" s="236">
        <f t="shared" si="0"/>
        <v>2963292.96</v>
      </c>
      <c r="M16" s="231"/>
      <c r="N16" s="237"/>
      <c r="O16" s="231"/>
      <c r="P16" s="231"/>
    </row>
    <row r="17" spans="1:16" s="4" customFormat="1" ht="15" customHeight="1" hidden="1">
      <c r="A17" s="240"/>
      <c r="B17" s="241" t="s">
        <v>693</v>
      </c>
      <c r="C17" s="241"/>
      <c r="D17" s="241"/>
      <c r="E17" s="351"/>
      <c r="F17" s="351"/>
      <c r="G17" s="244">
        <v>0</v>
      </c>
      <c r="H17" s="353"/>
      <c r="I17" s="244">
        <v>0</v>
      </c>
      <c r="J17" s="231"/>
      <c r="K17" s="240"/>
      <c r="L17" s="236">
        <f t="shared" si="0"/>
        <v>0</v>
      </c>
      <c r="M17" s="231"/>
      <c r="N17" s="237"/>
      <c r="O17" s="231"/>
      <c r="P17" s="231"/>
    </row>
    <row r="18" spans="1:16" ht="14.25">
      <c r="A18" s="347" t="s">
        <v>796</v>
      </c>
      <c r="B18" s="241"/>
      <c r="C18" s="241"/>
      <c r="D18" s="354">
        <f>SUM(D11:D16)</f>
        <v>326881551.86999995</v>
      </c>
      <c r="E18" s="354">
        <f>SUM(E11:E16)</f>
        <v>341614795.5299999</v>
      </c>
      <c r="F18" s="354">
        <f>SUM(F11:F16)</f>
        <v>303340878.13000005</v>
      </c>
      <c r="G18" s="354">
        <f>SUM(G10:G17)</f>
        <v>215660465.22</v>
      </c>
      <c r="H18" s="352"/>
      <c r="I18" s="354">
        <f>SUM(I10:I17)</f>
        <v>174924991.17999998</v>
      </c>
      <c r="J18" s="230"/>
      <c r="K18" s="241"/>
      <c r="L18" s="234">
        <f t="shared" si="0"/>
        <v>390585456.4</v>
      </c>
      <c r="M18" s="230"/>
      <c r="N18" s="235"/>
      <c r="O18" s="230"/>
      <c r="P18" s="230"/>
    </row>
    <row r="19" spans="1:16" ht="14.25">
      <c r="A19" s="347"/>
      <c r="B19" s="241"/>
      <c r="C19" s="241"/>
      <c r="D19" s="241"/>
      <c r="E19" s="351"/>
      <c r="F19" s="351"/>
      <c r="G19" s="354"/>
      <c r="H19" s="352"/>
      <c r="I19" s="354"/>
      <c r="J19" s="230"/>
      <c r="K19" s="241"/>
      <c r="L19" s="234"/>
      <c r="M19" s="230"/>
      <c r="N19" s="235"/>
      <c r="O19" s="230"/>
      <c r="P19" s="230"/>
    </row>
    <row r="20" spans="1:16" ht="14.25">
      <c r="A20" s="347" t="s">
        <v>798</v>
      </c>
      <c r="B20" s="241"/>
      <c r="C20" s="241"/>
      <c r="D20" s="241"/>
      <c r="E20" s="351"/>
      <c r="F20" s="351"/>
      <c r="G20" s="351"/>
      <c r="H20" s="351"/>
      <c r="I20" s="351"/>
      <c r="J20" s="230"/>
      <c r="K20" s="241"/>
      <c r="L20" s="230"/>
      <c r="M20" s="230"/>
      <c r="N20" s="235"/>
      <c r="O20" s="230"/>
      <c r="P20" s="230"/>
    </row>
    <row r="21" spans="1:16" s="4" customFormat="1" ht="15" customHeight="1" hidden="1">
      <c r="A21" s="240"/>
      <c r="B21" s="241" t="s">
        <v>694</v>
      </c>
      <c r="C21" s="241"/>
      <c r="D21" s="241"/>
      <c r="E21" s="351"/>
      <c r="F21" s="351"/>
      <c r="G21" s="244">
        <v>0</v>
      </c>
      <c r="H21" s="353"/>
      <c r="I21" s="244">
        <v>0</v>
      </c>
      <c r="J21" s="231"/>
      <c r="K21" s="240"/>
      <c r="L21" s="236">
        <f aca="true" t="shared" si="1" ref="L21:L28">+G21+I21</f>
        <v>0</v>
      </c>
      <c r="M21" s="231"/>
      <c r="N21" s="237"/>
      <c r="O21" s="231"/>
      <c r="P21" s="231"/>
    </row>
    <row r="22" spans="1:16" s="4" customFormat="1" ht="15" customHeight="1" hidden="1">
      <c r="A22" s="240"/>
      <c r="B22" s="241" t="s">
        <v>695</v>
      </c>
      <c r="C22" s="241"/>
      <c r="D22" s="241"/>
      <c r="E22" s="351"/>
      <c r="F22" s="351"/>
      <c r="G22" s="244">
        <v>0</v>
      </c>
      <c r="H22" s="353"/>
      <c r="I22" s="244">
        <v>0</v>
      </c>
      <c r="J22" s="231"/>
      <c r="K22" s="240"/>
      <c r="L22" s="236">
        <f t="shared" si="1"/>
        <v>0</v>
      </c>
      <c r="M22" s="231"/>
      <c r="N22" s="237"/>
      <c r="O22" s="231"/>
      <c r="P22" s="231"/>
    </row>
    <row r="23" spans="1:16" s="4" customFormat="1" ht="15" customHeight="1" hidden="1">
      <c r="A23" s="240"/>
      <c r="B23" s="241" t="s">
        <v>696</v>
      </c>
      <c r="C23" s="241"/>
      <c r="D23" s="241"/>
      <c r="E23" s="351"/>
      <c r="F23" s="351"/>
      <c r="G23" s="244">
        <v>0</v>
      </c>
      <c r="H23" s="353"/>
      <c r="I23" s="244">
        <v>0</v>
      </c>
      <c r="J23" s="231"/>
      <c r="K23" s="240"/>
      <c r="L23" s="236">
        <f t="shared" si="1"/>
        <v>0</v>
      </c>
      <c r="M23" s="231"/>
      <c r="N23" s="237"/>
      <c r="O23" s="231"/>
      <c r="P23" s="231"/>
    </row>
    <row r="24" spans="1:16" s="4" customFormat="1" ht="15" customHeight="1" hidden="1">
      <c r="A24" s="240"/>
      <c r="B24" s="241" t="s">
        <v>697</v>
      </c>
      <c r="C24" s="241"/>
      <c r="D24" s="241"/>
      <c r="E24" s="351"/>
      <c r="F24" s="351"/>
      <c r="G24" s="244">
        <v>0</v>
      </c>
      <c r="H24" s="353"/>
      <c r="I24" s="244">
        <v>0</v>
      </c>
      <c r="J24" s="231"/>
      <c r="K24" s="240"/>
      <c r="L24" s="236">
        <f t="shared" si="1"/>
        <v>0</v>
      </c>
      <c r="M24" s="231"/>
      <c r="N24" s="237"/>
      <c r="O24" s="231"/>
      <c r="P24" s="231"/>
    </row>
    <row r="25" spans="1:16" ht="14.25">
      <c r="A25" s="241"/>
      <c r="B25" s="241" t="s">
        <v>795</v>
      </c>
      <c r="C25" s="241"/>
      <c r="D25" s="466">
        <f>+'Notas Estado de Situación'!O535</f>
        <v>125313330.34999996</v>
      </c>
      <c r="E25" s="351">
        <f>+'Notas Estado de Situación'!P190+'Notas Estado de Situación'!P453+'Notas Estado de Situación'!P470+'Notas Estado de Situación'!P492+12579325.97</f>
        <v>130916711.79999998</v>
      </c>
      <c r="F25" s="351">
        <f>+'Notas Estado de Situación'!Q453+'Notas Estado de Situación'!Q190+'Notas Estado de Situación'!Q470+'Notas Estado de Situación'!Q492+12579325.97</f>
        <v>131986467.20999998</v>
      </c>
      <c r="G25" s="244">
        <f>156655200.1-17413311.55</f>
        <v>139241888.54999998</v>
      </c>
      <c r="H25" s="353"/>
      <c r="I25" s="244">
        <v>140880471.7</v>
      </c>
      <c r="J25" s="230"/>
      <c r="K25" s="241"/>
      <c r="L25" s="234">
        <f t="shared" si="1"/>
        <v>280122360.25</v>
      </c>
      <c r="M25" s="230"/>
      <c r="N25" s="235"/>
      <c r="O25" s="230"/>
      <c r="P25" s="230"/>
    </row>
    <row r="26" spans="1:16" ht="14.25">
      <c r="A26" s="241"/>
      <c r="B26" s="241" t="s">
        <v>698</v>
      </c>
      <c r="C26" s="241"/>
      <c r="D26" s="467">
        <f>+'Notas Estado de Situación'!O533</f>
        <v>5806738.849999998</v>
      </c>
      <c r="E26" s="359">
        <f>+'Notas Estado de Situación'!P520</f>
        <v>8194865.199999999</v>
      </c>
      <c r="F26" s="359">
        <f>+'Notas Estado de Situación'!Q520</f>
        <v>10562521.739999998</v>
      </c>
      <c r="G26" s="360">
        <v>17413311.55</v>
      </c>
      <c r="H26" s="353"/>
      <c r="I26" s="244">
        <v>19291263.83</v>
      </c>
      <c r="J26" s="230"/>
      <c r="K26" s="242"/>
      <c r="L26" s="234">
        <f t="shared" si="1"/>
        <v>36704575.379999995</v>
      </c>
      <c r="M26" s="230"/>
      <c r="N26" s="235"/>
      <c r="O26" s="230"/>
      <c r="P26" s="230"/>
    </row>
    <row r="27" spans="1:16" s="4" customFormat="1" ht="15" customHeight="1" hidden="1">
      <c r="A27" s="240"/>
      <c r="B27" s="241" t="s">
        <v>699</v>
      </c>
      <c r="C27" s="241"/>
      <c r="D27" s="241"/>
      <c r="E27" s="351"/>
      <c r="F27" s="351"/>
      <c r="G27" s="351">
        <v>0</v>
      </c>
      <c r="H27" s="352"/>
      <c r="I27" s="351">
        <v>0</v>
      </c>
      <c r="J27" s="238"/>
      <c r="K27" s="243"/>
      <c r="L27" s="236">
        <f t="shared" si="1"/>
        <v>0</v>
      </c>
      <c r="M27" s="239"/>
      <c r="N27" s="237"/>
      <c r="O27" s="231"/>
      <c r="P27" s="231"/>
    </row>
    <row r="28" spans="1:16" ht="14.25">
      <c r="A28" s="347" t="s">
        <v>797</v>
      </c>
      <c r="B28" s="241"/>
      <c r="C28" s="241"/>
      <c r="D28" s="361">
        <f>SUM(D25:D27)</f>
        <v>131120069.19999996</v>
      </c>
      <c r="E28" s="361">
        <f>SUM(E25:E27)</f>
        <v>139111576.99999997</v>
      </c>
      <c r="F28" s="361">
        <f>SUM(F25:F27)</f>
        <v>142548988.95</v>
      </c>
      <c r="G28" s="361">
        <f>SUM(G21:G27)</f>
        <v>156655200.1</v>
      </c>
      <c r="H28" s="352"/>
      <c r="I28" s="354">
        <f>SUM(I21:I27)</f>
        <v>160171735.52999997</v>
      </c>
      <c r="J28" s="230"/>
      <c r="K28" s="241"/>
      <c r="L28" s="234">
        <f t="shared" si="1"/>
        <v>316826935.63</v>
      </c>
      <c r="M28" s="230"/>
      <c r="N28" s="235"/>
      <c r="O28" s="230"/>
      <c r="P28" s="230"/>
    </row>
    <row r="29" spans="1:16" ht="14.25">
      <c r="A29" s="347"/>
      <c r="B29" s="241"/>
      <c r="C29" s="241"/>
      <c r="D29" s="241"/>
      <c r="E29" s="351"/>
      <c r="F29" s="351"/>
      <c r="G29" s="354"/>
      <c r="H29" s="352"/>
      <c r="I29" s="354"/>
      <c r="J29" s="230"/>
      <c r="K29" s="241"/>
      <c r="L29" s="234"/>
      <c r="M29" s="230"/>
      <c r="N29" s="235"/>
      <c r="O29" s="230"/>
      <c r="P29" s="230"/>
    </row>
    <row r="30" spans="1:16" ht="15" thickBot="1">
      <c r="A30" s="347" t="s">
        <v>700</v>
      </c>
      <c r="B30" s="241"/>
      <c r="C30" s="241"/>
      <c r="D30" s="358">
        <f>+D18+D28</f>
        <v>458001621.06999993</v>
      </c>
      <c r="E30" s="358">
        <f>+E18+E28</f>
        <v>480726372.52999985</v>
      </c>
      <c r="F30" s="358">
        <f>+F18+F28</f>
        <v>445889867.08000004</v>
      </c>
      <c r="G30" s="358">
        <f>SUM(G28,G18)</f>
        <v>372315665.32</v>
      </c>
      <c r="H30" s="355"/>
      <c r="I30" s="354">
        <f>SUM(I28,I18)</f>
        <v>335096726.7099999</v>
      </c>
      <c r="J30" s="230"/>
      <c r="K30" s="241"/>
      <c r="L30" s="234">
        <f>+G30+I30</f>
        <v>707412392.03</v>
      </c>
      <c r="M30" s="230"/>
      <c r="N30" s="235"/>
      <c r="O30" s="230"/>
      <c r="P30" s="230"/>
    </row>
    <row r="31" spans="1:16" ht="15" thickTop="1">
      <c r="A31" s="241"/>
      <c r="B31" s="241" t="s">
        <v>597</v>
      </c>
      <c r="C31" s="241"/>
      <c r="D31" s="241"/>
      <c r="E31" s="351"/>
      <c r="F31" s="351"/>
      <c r="G31" s="351"/>
      <c r="H31" s="351"/>
      <c r="I31" s="351"/>
      <c r="J31" s="230"/>
      <c r="K31" s="241"/>
      <c r="L31" s="230"/>
      <c r="M31" s="230"/>
      <c r="N31" s="235"/>
      <c r="O31" s="230"/>
      <c r="P31" s="230"/>
    </row>
    <row r="32" spans="1:16" ht="14.25">
      <c r="A32" s="347" t="s">
        <v>701</v>
      </c>
      <c r="B32" s="241"/>
      <c r="C32" s="241"/>
      <c r="D32" s="241"/>
      <c r="E32" s="351"/>
      <c r="F32" s="351"/>
      <c r="G32" s="351"/>
      <c r="H32" s="351"/>
      <c r="I32" s="351"/>
      <c r="J32" s="230"/>
      <c r="K32" s="241"/>
      <c r="L32" s="230"/>
      <c r="M32" s="230"/>
      <c r="N32" s="235"/>
      <c r="O32" s="230"/>
      <c r="P32" s="230"/>
    </row>
    <row r="33" spans="1:16" ht="14.25">
      <c r="A33" s="347" t="s">
        <v>799</v>
      </c>
      <c r="B33" s="241"/>
      <c r="C33" s="241"/>
      <c r="D33" s="241"/>
      <c r="E33" s="351"/>
      <c r="F33" s="351"/>
      <c r="G33" s="352"/>
      <c r="H33" s="352"/>
      <c r="I33" s="352"/>
      <c r="J33" s="230"/>
      <c r="K33" s="241"/>
      <c r="L33" s="230"/>
      <c r="M33" s="230"/>
      <c r="N33" s="235"/>
      <c r="O33" s="230"/>
      <c r="P33" s="230"/>
    </row>
    <row r="34" spans="1:16" s="4" customFormat="1" ht="15" customHeight="1">
      <c r="A34" s="240"/>
      <c r="B34" s="241" t="s">
        <v>1218</v>
      </c>
      <c r="C34" s="241"/>
      <c r="D34" s="482">
        <f>+'Notas Estado de Situación'!O541</f>
        <v>7978.49</v>
      </c>
      <c r="E34" s="351">
        <f>+'Notas Estado de Situación'!P541</f>
        <v>20411.93</v>
      </c>
      <c r="F34" s="351"/>
      <c r="G34" s="244">
        <v>0</v>
      </c>
      <c r="H34" s="356"/>
      <c r="I34" s="244">
        <v>0</v>
      </c>
      <c r="J34" s="231"/>
      <c r="K34" s="240"/>
      <c r="L34" s="236">
        <f aca="true" t="shared" si="2" ref="L34:L43">+G34+I34</f>
        <v>0</v>
      </c>
      <c r="M34" s="231"/>
      <c r="N34" s="237"/>
      <c r="O34" s="231"/>
      <c r="P34" s="231"/>
    </row>
    <row r="35" spans="1:16" ht="14.25">
      <c r="A35" s="241"/>
      <c r="B35" s="241" t="s">
        <v>1219</v>
      </c>
      <c r="C35" s="241"/>
      <c r="D35" s="466">
        <f>+'Notas Estado de Situación'!O557</f>
        <v>8402578.73</v>
      </c>
      <c r="E35" s="351">
        <f>+'Notas Estado de Situación'!P557</f>
        <v>5072692.779999999</v>
      </c>
      <c r="F35" s="351">
        <f>+'Notas Estado de Situación'!Q557</f>
        <v>8111355.89</v>
      </c>
      <c r="G35" s="244">
        <v>4560839.52</v>
      </c>
      <c r="H35" s="356"/>
      <c r="I35" s="244">
        <f>4363148.71+9462055.34</f>
        <v>13825204.05</v>
      </c>
      <c r="J35" s="230"/>
      <c r="K35" s="244"/>
      <c r="L35" s="234">
        <f t="shared" si="2"/>
        <v>18386043.57</v>
      </c>
      <c r="M35" s="230"/>
      <c r="N35" s="235"/>
      <c r="O35" s="230"/>
      <c r="P35" s="230"/>
    </row>
    <row r="36" spans="1:16" s="4" customFormat="1" ht="15" customHeight="1" hidden="1">
      <c r="A36" s="240"/>
      <c r="B36" s="241" t="s">
        <v>702</v>
      </c>
      <c r="C36" s="241"/>
      <c r="D36" s="241"/>
      <c r="E36" s="351"/>
      <c r="F36" s="351"/>
      <c r="G36" s="244">
        <v>0</v>
      </c>
      <c r="H36" s="353"/>
      <c r="I36" s="244">
        <v>0</v>
      </c>
      <c r="J36" s="231"/>
      <c r="K36" s="240"/>
      <c r="L36" s="236">
        <f t="shared" si="2"/>
        <v>0</v>
      </c>
      <c r="M36" s="231"/>
      <c r="N36" s="237"/>
      <c r="O36" s="231"/>
      <c r="P36" s="231"/>
    </row>
    <row r="37" spans="1:16" s="4" customFormat="1" ht="15" customHeight="1" hidden="1">
      <c r="A37" s="240"/>
      <c r="B37" s="241" t="s">
        <v>703</v>
      </c>
      <c r="C37" s="241"/>
      <c r="D37" s="241"/>
      <c r="E37" s="351"/>
      <c r="F37" s="351"/>
      <c r="G37" s="244">
        <v>0</v>
      </c>
      <c r="H37" s="353"/>
      <c r="I37" s="244">
        <v>0</v>
      </c>
      <c r="J37" s="231"/>
      <c r="K37" s="240"/>
      <c r="L37" s="236">
        <f t="shared" si="2"/>
        <v>0</v>
      </c>
      <c r="M37" s="231"/>
      <c r="N37" s="237"/>
      <c r="O37" s="231"/>
      <c r="P37" s="231"/>
    </row>
    <row r="38" spans="1:16" s="4" customFormat="1" ht="14.25">
      <c r="A38" s="240"/>
      <c r="B38" s="241" t="s">
        <v>1220</v>
      </c>
      <c r="C38" s="241"/>
      <c r="D38" s="466">
        <f>+'Notas Estado de Situación'!O700</f>
        <v>1404565.0899999999</v>
      </c>
      <c r="E38" s="351">
        <f>+'Notas Estado de Situación'!P700</f>
        <v>22340710.330000002</v>
      </c>
      <c r="F38" s="351">
        <f>+'Notas Estado de Situación'!Q700</f>
        <v>2087483.51</v>
      </c>
      <c r="G38" s="244">
        <v>1541158.98</v>
      </c>
      <c r="H38" s="353"/>
      <c r="I38" s="244">
        <f>1464223.87+14576438.64</f>
        <v>16040662.510000002</v>
      </c>
      <c r="J38" s="231"/>
      <c r="K38" s="240"/>
      <c r="L38" s="236">
        <f t="shared" si="2"/>
        <v>17581821.490000002</v>
      </c>
      <c r="M38" s="231"/>
      <c r="N38" s="237"/>
      <c r="O38" s="231"/>
      <c r="P38" s="231"/>
    </row>
    <row r="39" spans="1:16" s="4" customFormat="1" ht="15" customHeight="1" hidden="1">
      <c r="A39" s="240"/>
      <c r="B39" s="241" t="s">
        <v>704</v>
      </c>
      <c r="C39" s="241"/>
      <c r="D39" s="241"/>
      <c r="E39" s="351"/>
      <c r="F39" s="351"/>
      <c r="G39" s="244">
        <v>0</v>
      </c>
      <c r="H39" s="353"/>
      <c r="I39" s="244">
        <v>0</v>
      </c>
      <c r="J39" s="231"/>
      <c r="K39" s="240"/>
      <c r="L39" s="236">
        <f t="shared" si="2"/>
        <v>0</v>
      </c>
      <c r="M39" s="231"/>
      <c r="N39" s="237"/>
      <c r="O39" s="231"/>
      <c r="P39" s="231"/>
    </row>
    <row r="40" spans="1:16" s="4" customFormat="1" ht="15" customHeight="1" hidden="1">
      <c r="A40" s="240"/>
      <c r="B40" s="241" t="s">
        <v>705</v>
      </c>
      <c r="C40" s="241"/>
      <c r="D40" s="241"/>
      <c r="E40" s="351"/>
      <c r="F40" s="351"/>
      <c r="G40" s="244">
        <v>0</v>
      </c>
      <c r="H40" s="353"/>
      <c r="I40" s="244">
        <v>0</v>
      </c>
      <c r="J40" s="231"/>
      <c r="K40" s="240"/>
      <c r="L40" s="236">
        <f t="shared" si="2"/>
        <v>0</v>
      </c>
      <c r="M40" s="231"/>
      <c r="N40" s="237"/>
      <c r="O40" s="231"/>
      <c r="P40" s="231"/>
    </row>
    <row r="41" spans="1:16" s="4" customFormat="1" ht="15" customHeight="1" hidden="1">
      <c r="A41" s="240"/>
      <c r="B41" s="241" t="s">
        <v>706</v>
      </c>
      <c r="C41" s="241"/>
      <c r="D41" s="241"/>
      <c r="E41" s="351"/>
      <c r="F41" s="351"/>
      <c r="G41" s="244">
        <v>0</v>
      </c>
      <c r="H41" s="353"/>
      <c r="I41" s="244">
        <v>0</v>
      </c>
      <c r="J41" s="231"/>
      <c r="K41" s="240"/>
      <c r="L41" s="236">
        <f t="shared" si="2"/>
        <v>0</v>
      </c>
      <c r="M41" s="231"/>
      <c r="N41" s="237"/>
      <c r="O41" s="231"/>
      <c r="P41" s="231"/>
    </row>
    <row r="42" spans="1:16" s="4" customFormat="1" ht="14.25">
      <c r="A42" s="240"/>
      <c r="B42" s="241" t="s">
        <v>1221</v>
      </c>
      <c r="C42" s="241"/>
      <c r="D42" s="467">
        <f>+'Notas Estado de Situación'!O730</f>
        <v>206216.16999999998</v>
      </c>
      <c r="E42" s="359">
        <f>+'Notas Estado de Situación'!P730</f>
        <v>134390.79</v>
      </c>
      <c r="F42" s="359">
        <f>+'Notas Estado de Situación'!Q730</f>
        <v>1080852.98</v>
      </c>
      <c r="G42" s="360">
        <v>58571.7</v>
      </c>
      <c r="H42" s="353"/>
      <c r="I42" s="244">
        <v>834356.13</v>
      </c>
      <c r="J42" s="231"/>
      <c r="K42" s="240"/>
      <c r="L42" s="236">
        <f t="shared" si="2"/>
        <v>892927.83</v>
      </c>
      <c r="M42" s="231"/>
      <c r="N42" s="237"/>
      <c r="O42" s="231"/>
      <c r="P42" s="231"/>
    </row>
    <row r="43" spans="1:16" ht="14.25">
      <c r="A43" s="347" t="s">
        <v>800</v>
      </c>
      <c r="B43" s="241"/>
      <c r="C43" s="241"/>
      <c r="D43" s="354">
        <f>SUM(D34:D42)</f>
        <v>10021338.48</v>
      </c>
      <c r="E43" s="354">
        <f>SUM(E34:E42)</f>
        <v>27568205.83</v>
      </c>
      <c r="F43" s="354">
        <f>SUM(F35:F42)</f>
        <v>11279692.38</v>
      </c>
      <c r="G43" s="354">
        <f>SUM(G34:G42)</f>
        <v>6160570.2</v>
      </c>
      <c r="H43" s="352"/>
      <c r="I43" s="354">
        <f>SUM(I34:I42)</f>
        <v>30700222.69</v>
      </c>
      <c r="J43" s="230"/>
      <c r="K43" s="241"/>
      <c r="L43" s="234">
        <f t="shared" si="2"/>
        <v>36860792.89</v>
      </c>
      <c r="M43" s="230"/>
      <c r="N43" s="235"/>
      <c r="O43" s="230"/>
      <c r="P43" s="230"/>
    </row>
    <row r="44" spans="1:16" ht="14.25">
      <c r="A44" s="347"/>
      <c r="B44" s="241"/>
      <c r="C44" s="241"/>
      <c r="D44" s="241"/>
      <c r="E44" s="351"/>
      <c r="F44" s="351"/>
      <c r="G44" s="354"/>
      <c r="H44" s="352"/>
      <c r="I44" s="354"/>
      <c r="J44" s="230"/>
      <c r="K44" s="241"/>
      <c r="L44" s="234"/>
      <c r="M44" s="230"/>
      <c r="N44" s="235"/>
      <c r="O44" s="230"/>
      <c r="P44" s="230"/>
    </row>
    <row r="45" spans="1:16" ht="14.25">
      <c r="A45" s="347" t="s">
        <v>801</v>
      </c>
      <c r="B45" s="241"/>
      <c r="C45" s="241"/>
      <c r="D45" s="354">
        <f>+D43</f>
        <v>10021338.48</v>
      </c>
      <c r="E45" s="354">
        <f>+E43</f>
        <v>27568205.83</v>
      </c>
      <c r="F45" s="354">
        <f>+F43</f>
        <v>11279692.38</v>
      </c>
      <c r="G45" s="354" t="e">
        <f>SUM(G43,#REF!)</f>
        <v>#REF!</v>
      </c>
      <c r="H45" s="355"/>
      <c r="I45" s="354" t="e">
        <f>SUM(I43,#REF!)</f>
        <v>#REF!</v>
      </c>
      <c r="J45" s="230"/>
      <c r="K45" s="241"/>
      <c r="L45" s="234" t="e">
        <f>+G45+I45</f>
        <v>#REF!</v>
      </c>
      <c r="M45" s="230"/>
      <c r="N45" s="235"/>
      <c r="O45" s="230"/>
      <c r="P45" s="230"/>
    </row>
    <row r="46" spans="1:16" ht="14.25">
      <c r="A46" s="347"/>
      <c r="B46" s="241"/>
      <c r="C46" s="241"/>
      <c r="D46" s="241"/>
      <c r="E46" s="351"/>
      <c r="F46" s="351"/>
      <c r="G46" s="351"/>
      <c r="H46" s="351"/>
      <c r="I46" s="351"/>
      <c r="J46" s="230"/>
      <c r="K46" s="241"/>
      <c r="L46" s="230"/>
      <c r="M46" s="230"/>
      <c r="N46" s="235"/>
      <c r="O46" s="230"/>
      <c r="P46" s="230"/>
    </row>
    <row r="47" spans="1:16" ht="14.25">
      <c r="A47" s="347" t="s">
        <v>843</v>
      </c>
      <c r="B47" s="241"/>
      <c r="C47" s="241"/>
      <c r="D47" s="241"/>
      <c r="E47" s="351"/>
      <c r="F47" s="351"/>
      <c r="G47" s="351"/>
      <c r="H47" s="351"/>
      <c r="I47" s="351"/>
      <c r="J47" s="230"/>
      <c r="K47" s="241"/>
      <c r="L47" s="230"/>
      <c r="M47" s="230"/>
      <c r="N47" s="235"/>
      <c r="O47" s="230"/>
      <c r="P47" s="230"/>
    </row>
    <row r="48" spans="1:16" s="4" customFormat="1" ht="14.25">
      <c r="A48" s="357"/>
      <c r="B48" s="241" t="s">
        <v>707</v>
      </c>
      <c r="C48" s="241"/>
      <c r="D48" s="466">
        <v>113148476</v>
      </c>
      <c r="E48" s="351">
        <v>113148475.73</v>
      </c>
      <c r="F48" s="351">
        <v>113148475.73</v>
      </c>
      <c r="G48" s="351">
        <v>114633129.66</v>
      </c>
      <c r="H48" s="353"/>
      <c r="I48" s="351">
        <v>105002870.12</v>
      </c>
      <c r="J48" s="231"/>
      <c r="K48" s="645">
        <f>D48+D51</f>
        <v>453222088.75</v>
      </c>
      <c r="L48" s="236">
        <f>+G48+I48</f>
        <v>219635999.78</v>
      </c>
      <c r="M48" s="231"/>
      <c r="N48" s="237"/>
      <c r="O48" s="231"/>
      <c r="P48" s="231"/>
    </row>
    <row r="49" spans="1:16" s="4" customFormat="1" ht="15" customHeight="1" hidden="1">
      <c r="A49" s="240"/>
      <c r="B49" s="241" t="s">
        <v>708</v>
      </c>
      <c r="C49" s="241"/>
      <c r="D49" s="466"/>
      <c r="E49" s="351"/>
      <c r="F49" s="351"/>
      <c r="G49" s="244">
        <v>0</v>
      </c>
      <c r="H49" s="353"/>
      <c r="I49" s="244">
        <v>0</v>
      </c>
      <c r="J49" s="231"/>
      <c r="K49" s="231"/>
      <c r="L49" s="236">
        <f>+G49+I49</f>
        <v>0</v>
      </c>
      <c r="M49" s="231"/>
      <c r="N49" s="237"/>
      <c r="O49" s="231"/>
      <c r="P49" s="231"/>
    </row>
    <row r="50" spans="1:16" ht="14.25">
      <c r="A50" s="241"/>
      <c r="B50" s="241" t="s">
        <v>1222</v>
      </c>
      <c r="C50" s="241"/>
      <c r="D50" s="466">
        <f>+'Estado Rendimiento Financiero'!E29</f>
        <v>-5241806.149999967</v>
      </c>
      <c r="E50" s="351">
        <f>+'Estado Rendimiento Financiero'!F29</f>
        <v>17621076.810000084</v>
      </c>
      <c r="F50" s="351">
        <f>+'Estado Rendimiento Financiero'!G29</f>
        <v>70904915.10000008</v>
      </c>
      <c r="G50" s="351">
        <f>+'[4] ERF-Rendimiento Financiero'!E27</f>
        <v>52128331.360000074</v>
      </c>
      <c r="H50" s="352"/>
      <c r="I50" s="351">
        <f>+'[4] ERF-Rendimiento Financiero'!G27</f>
        <v>30252545.27000004</v>
      </c>
      <c r="J50" s="230"/>
      <c r="K50" s="230"/>
      <c r="L50" s="234">
        <f>+G50+I50</f>
        <v>82380876.63000011</v>
      </c>
      <c r="M50" s="230"/>
      <c r="N50" s="235"/>
      <c r="O50" s="230"/>
      <c r="P50" s="230"/>
    </row>
    <row r="51" spans="1:16" ht="14.25">
      <c r="A51" s="241"/>
      <c r="B51" s="497" t="s">
        <v>709</v>
      </c>
      <c r="C51" s="241"/>
      <c r="D51" s="467">
        <f>340047957.17+88882164.27+18721869.33+10406755.16-4224239.81-612417.37-113148476</f>
        <v>340073612.75</v>
      </c>
      <c r="E51" s="467">
        <f>340009691.48-E50</f>
        <v>322388614.66999996</v>
      </c>
      <c r="F51" s="359">
        <v>251521965.26</v>
      </c>
      <c r="G51" s="359">
        <v>199393633.9</v>
      </c>
      <c r="H51" s="352"/>
      <c r="I51" s="351">
        <v>169141088.63</v>
      </c>
      <c r="J51" s="230"/>
      <c r="K51" s="463"/>
      <c r="L51" s="234">
        <f>+G51+I51</f>
        <v>368534722.53</v>
      </c>
      <c r="M51" s="230"/>
      <c r="N51" s="235"/>
      <c r="O51" s="230"/>
      <c r="P51" s="230"/>
    </row>
    <row r="52" spans="1:16" ht="14.25">
      <c r="A52" s="347" t="s">
        <v>802</v>
      </c>
      <c r="B52" s="241"/>
      <c r="C52" s="241"/>
      <c r="D52" s="354">
        <f>SUM(D48:D51)</f>
        <v>447980282.6</v>
      </c>
      <c r="E52" s="354">
        <f>SUM(E48:E51)</f>
        <v>453158167.21000004</v>
      </c>
      <c r="F52" s="354">
        <f>SUM(F48:F51)</f>
        <v>435575356.0900001</v>
      </c>
      <c r="G52" s="354">
        <f>SUM(G47:G51)</f>
        <v>366155094.9200001</v>
      </c>
      <c r="H52" s="355"/>
      <c r="I52" s="354">
        <f>SUM(I47:I51)</f>
        <v>304396504.02000004</v>
      </c>
      <c r="J52" s="230"/>
      <c r="K52" s="234"/>
      <c r="L52" s="234">
        <f>+G52+I52</f>
        <v>670551598.94</v>
      </c>
      <c r="M52" s="230"/>
      <c r="N52" s="235"/>
      <c r="O52" s="230"/>
      <c r="P52" s="230"/>
    </row>
    <row r="53" spans="1:16" ht="14.25">
      <c r="A53" s="347"/>
      <c r="B53" s="241"/>
      <c r="C53" s="241"/>
      <c r="D53" s="241"/>
      <c r="E53" s="351"/>
      <c r="F53" s="351"/>
      <c r="G53" s="350"/>
      <c r="H53" s="350"/>
      <c r="I53" s="350"/>
      <c r="J53" s="230"/>
      <c r="K53" s="230"/>
      <c r="L53" s="230"/>
      <c r="M53" s="230"/>
      <c r="N53" s="230"/>
      <c r="O53" s="230"/>
      <c r="P53" s="230"/>
    </row>
    <row r="54" spans="1:16" ht="15" thickBot="1">
      <c r="A54" s="347" t="s">
        <v>803</v>
      </c>
      <c r="B54" s="241"/>
      <c r="C54" s="241"/>
      <c r="D54" s="358">
        <f>+D45+D52</f>
        <v>458001621.08000004</v>
      </c>
      <c r="E54" s="358">
        <f>+E45+E52</f>
        <v>480726373.04</v>
      </c>
      <c r="F54" s="358">
        <f>+F45+F52</f>
        <v>446855048.4700001</v>
      </c>
      <c r="G54" s="358" t="e">
        <f>+G45+G52</f>
        <v>#REF!</v>
      </c>
      <c r="H54" s="350"/>
      <c r="I54" s="354" t="e">
        <f>+I45+I52</f>
        <v>#REF!</v>
      </c>
      <c r="J54" s="230"/>
      <c r="K54" s="230"/>
      <c r="L54" s="230"/>
      <c r="M54" s="230"/>
      <c r="N54" s="230"/>
      <c r="O54" s="230"/>
      <c r="P54" s="230"/>
    </row>
    <row r="55" spans="1:16" ht="15" thickTop="1">
      <c r="A55" s="347"/>
      <c r="B55" s="241"/>
      <c r="C55" s="241"/>
      <c r="D55" s="241"/>
      <c r="E55" s="398"/>
      <c r="F55" s="351"/>
      <c r="G55" s="354"/>
      <c r="H55" s="350"/>
      <c r="I55" s="354"/>
      <c r="J55" s="230"/>
      <c r="K55" s="230"/>
      <c r="L55" s="230"/>
      <c r="M55" s="230"/>
      <c r="N55" s="230"/>
      <c r="O55" s="230"/>
      <c r="P55" s="230"/>
    </row>
    <row r="56" spans="1:16" ht="14.25">
      <c r="A56" s="241"/>
      <c r="B56" s="241"/>
      <c r="C56" s="241"/>
      <c r="D56" s="241"/>
      <c r="E56" s="472">
        <f>+E30-E54</f>
        <v>-0.5100001692771912</v>
      </c>
      <c r="F56" s="241"/>
      <c r="G56" s="241"/>
      <c r="H56" s="241"/>
      <c r="I56" s="351"/>
      <c r="J56" s="230"/>
      <c r="K56" s="234"/>
      <c r="L56" s="234"/>
      <c r="M56" s="230"/>
      <c r="N56" s="230"/>
      <c r="O56" s="230"/>
      <c r="P56" s="230"/>
    </row>
    <row r="57" spans="1:16" ht="14.25">
      <c r="A57" s="805" t="s">
        <v>1060</v>
      </c>
      <c r="B57" s="805"/>
      <c r="C57" s="805"/>
      <c r="D57" s="805"/>
      <c r="E57" s="805"/>
      <c r="F57" s="805"/>
      <c r="G57" s="805"/>
      <c r="H57" s="241"/>
      <c r="I57" s="351"/>
      <c r="J57" s="230"/>
      <c r="K57" s="234">
        <f>+D30-D54</f>
        <v>-0.010000109672546387</v>
      </c>
      <c r="L57" s="234"/>
      <c r="M57" s="230"/>
      <c r="N57" s="230"/>
      <c r="O57" s="230"/>
      <c r="P57" s="230"/>
    </row>
    <row r="58" spans="1:16" ht="15" customHeight="1" hidden="1" thickBot="1">
      <c r="A58" s="806"/>
      <c r="B58" s="807"/>
      <c r="C58" s="807"/>
      <c r="D58" s="807"/>
      <c r="E58" s="807"/>
      <c r="F58" s="807"/>
      <c r="G58" s="807"/>
      <c r="H58" s="807"/>
      <c r="I58" s="808"/>
      <c r="J58" s="230"/>
      <c r="K58" s="230"/>
      <c r="L58" s="230"/>
      <c r="M58" s="230"/>
      <c r="N58" s="230"/>
      <c r="O58" s="230"/>
      <c r="P58" s="230"/>
    </row>
    <row r="59" spans="2:6" ht="14.25">
      <c r="B59" s="232"/>
      <c r="C59" s="232"/>
      <c r="D59" s="232"/>
      <c r="E59" s="232"/>
      <c r="F59" s="232"/>
    </row>
    <row r="60" spans="3:9" ht="14.25">
      <c r="C60" s="554"/>
      <c r="D60" s="555">
        <f>+D30-D54</f>
        <v>-0.010000109672546387</v>
      </c>
      <c r="H60" s="233"/>
      <c r="I60" s="233"/>
    </row>
    <row r="62" spans="6:16" ht="14.25">
      <c r="F62" s="233"/>
      <c r="G62" s="233"/>
      <c r="H62" s="233"/>
      <c r="P62" s="226"/>
    </row>
    <row r="63" ht="15">
      <c r="P63" s="226"/>
    </row>
    <row r="64" spans="2:16" ht="15">
      <c r="B64" s="225" t="s">
        <v>804</v>
      </c>
      <c r="F64" s="233"/>
      <c r="H64" s="233"/>
      <c r="P64" s="226"/>
    </row>
    <row r="65" spans="6:16" ht="14.25">
      <c r="F65" s="233"/>
      <c r="H65" s="233"/>
      <c r="P65" s="226"/>
    </row>
    <row r="66" spans="6:16" ht="14.25">
      <c r="F66" s="233"/>
      <c r="H66" s="233"/>
      <c r="P66" s="226"/>
    </row>
    <row r="67" ht="14.25">
      <c r="P67" s="226"/>
    </row>
    <row r="68" spans="6:16" ht="15">
      <c r="F68" s="233"/>
      <c r="H68" s="227"/>
      <c r="P68" s="226"/>
    </row>
    <row r="69" ht="15">
      <c r="P69" s="226"/>
    </row>
    <row r="70" spans="1:16" ht="18">
      <c r="A70" s="77" t="s">
        <v>1061</v>
      </c>
      <c r="B70" s="245"/>
      <c r="D70" s="246" t="s">
        <v>1059</v>
      </c>
      <c r="P70" s="226"/>
    </row>
  </sheetData>
  <sheetProtection/>
  <mergeCells count="6">
    <mergeCell ref="A1:I1"/>
    <mergeCell ref="A2:I2"/>
    <mergeCell ref="A3:I3"/>
    <mergeCell ref="A4:I4"/>
    <mergeCell ref="A58:I58"/>
    <mergeCell ref="A57:G57"/>
  </mergeCells>
  <printOptions/>
  <pageMargins left="1.37" right="0.7" top="0.75" bottom="0.75" header="0.3" footer="0.3"/>
  <pageSetup horizontalDpi="600" verticalDpi="600" orientation="portrait" scale="75" r:id="rId2"/>
  <drawing r:id="rId1"/>
</worksheet>
</file>

<file path=xl/worksheets/sheet10.xml><?xml version="1.0" encoding="utf-8"?>
<worksheet xmlns="http://schemas.openxmlformats.org/spreadsheetml/2006/main" xmlns:r="http://schemas.openxmlformats.org/officeDocument/2006/relationships">
  <dimension ref="A1:J75"/>
  <sheetViews>
    <sheetView zoomScale="115" zoomScaleNormal="115" zoomScalePageLayoutView="0" workbookViewId="0" topLeftCell="A22">
      <selection activeCell="F24" sqref="F24"/>
    </sheetView>
  </sheetViews>
  <sheetFormatPr defaultColWidth="11.421875" defaultRowHeight="15"/>
  <cols>
    <col min="6" max="6" width="20.00390625" style="0" customWidth="1"/>
    <col min="7" max="7" width="16.00390625" style="0" customWidth="1"/>
    <col min="10" max="10" width="13.8515625" style="0" bestFit="1" customWidth="1"/>
  </cols>
  <sheetData>
    <row r="1" spans="6:10" ht="14.25">
      <c r="F1" s="17"/>
      <c r="J1" s="219"/>
    </row>
    <row r="2" spans="2:5" ht="18">
      <c r="B2" s="32" t="s">
        <v>538</v>
      </c>
      <c r="C2" s="31"/>
      <c r="D2" s="31"/>
      <c r="E2" s="31"/>
    </row>
    <row r="3" spans="1:6" ht="18">
      <c r="A3" s="43" t="s">
        <v>808</v>
      </c>
      <c r="B3" s="43"/>
      <c r="C3" s="43"/>
      <c r="D3" s="43"/>
      <c r="E3" s="43"/>
      <c r="F3" s="43"/>
    </row>
    <row r="4" spans="1:6" ht="18">
      <c r="A4" s="43"/>
      <c r="B4" s="825" t="s">
        <v>964</v>
      </c>
      <c r="C4" s="825"/>
      <c r="D4" s="825"/>
      <c r="E4" s="825"/>
      <c r="F4" s="825"/>
    </row>
    <row r="5" ht="14.25">
      <c r="F5" s="17"/>
    </row>
    <row r="6" spans="1:6" ht="18">
      <c r="A6" s="33"/>
      <c r="B6" s="32"/>
      <c r="C6" s="31"/>
      <c r="D6" s="31"/>
      <c r="E6" s="31"/>
      <c r="F6" s="32"/>
    </row>
    <row r="7" spans="2:7" ht="18">
      <c r="B7" s="31"/>
      <c r="C7" s="31"/>
      <c r="D7" s="31"/>
      <c r="E7" s="31"/>
      <c r="F7" s="58" t="s">
        <v>525</v>
      </c>
      <c r="G7" s="59"/>
    </row>
    <row r="8" spans="2:6" ht="18">
      <c r="B8" s="34" t="s">
        <v>673</v>
      </c>
      <c r="C8" s="31"/>
      <c r="D8" s="31"/>
      <c r="E8" s="31"/>
      <c r="F8" s="57">
        <v>2023</v>
      </c>
    </row>
    <row r="9" spans="2:8" ht="14.25">
      <c r="B9" s="720" t="s">
        <v>530</v>
      </c>
      <c r="C9" s="720"/>
      <c r="D9" s="720"/>
      <c r="E9" s="720"/>
      <c r="F9" s="721">
        <f>454869222.21+1537.5+1166918</f>
        <v>456037677.71</v>
      </c>
      <c r="H9" s="17"/>
    </row>
    <row r="10" spans="2:6" ht="14.25">
      <c r="B10" s="720" t="s">
        <v>526</v>
      </c>
      <c r="C10" s="720"/>
      <c r="D10" s="720"/>
      <c r="E10" s="720"/>
      <c r="F10" s="721">
        <v>0</v>
      </c>
    </row>
    <row r="11" spans="2:6" ht="14.25">
      <c r="B11" s="720" t="s">
        <v>596</v>
      </c>
      <c r="C11" s="720"/>
      <c r="D11" s="720"/>
      <c r="E11" s="720"/>
      <c r="F11" s="721">
        <v>-1537.5</v>
      </c>
    </row>
    <row r="12" spans="2:6" ht="14.25">
      <c r="B12" s="720" t="s">
        <v>529</v>
      </c>
      <c r="C12" s="720"/>
      <c r="D12" s="720"/>
      <c r="E12" s="720"/>
      <c r="F12" s="722">
        <f>-611333-285189-270396</f>
        <v>-1166918</v>
      </c>
    </row>
    <row r="13" spans="2:6" ht="14.25">
      <c r="B13" s="723" t="s">
        <v>846</v>
      </c>
      <c r="C13" s="720"/>
      <c r="D13" s="720"/>
      <c r="E13" s="720"/>
      <c r="F13" s="724">
        <f>SUM(F9:F12)</f>
        <v>454869222.21</v>
      </c>
    </row>
    <row r="14" spans="2:6" ht="14.25">
      <c r="B14" s="720"/>
      <c r="C14" s="720"/>
      <c r="D14" s="720"/>
      <c r="E14" s="720"/>
      <c r="F14" s="725"/>
    </row>
    <row r="15" spans="2:6" ht="14.25">
      <c r="B15" s="720" t="s">
        <v>531</v>
      </c>
      <c r="C15" s="720"/>
      <c r="D15" s="720"/>
      <c r="E15" s="720"/>
      <c r="F15" s="725"/>
    </row>
    <row r="16" spans="2:6" ht="14.25">
      <c r="B16" s="720"/>
      <c r="C16" s="720"/>
      <c r="D16" s="720"/>
      <c r="E16" s="720"/>
      <c r="F16" s="725"/>
    </row>
    <row r="17" spans="2:6" ht="14.25">
      <c r="B17" s="720"/>
      <c r="C17" s="720"/>
      <c r="D17" s="720"/>
      <c r="E17" s="720"/>
      <c r="F17" s="725"/>
    </row>
    <row r="18" spans="2:7" ht="18">
      <c r="B18" s="720"/>
      <c r="C18" s="720"/>
      <c r="D18" s="720"/>
      <c r="E18" s="720"/>
      <c r="F18" s="726" t="s">
        <v>525</v>
      </c>
      <c r="G18" s="59"/>
    </row>
    <row r="19" spans="2:6" ht="18">
      <c r="B19" s="727" t="s">
        <v>532</v>
      </c>
      <c r="C19" s="720"/>
      <c r="D19" s="720"/>
      <c r="E19" s="720"/>
      <c r="F19" s="728">
        <v>2023</v>
      </c>
    </row>
    <row r="20" spans="2:6" ht="14.25">
      <c r="B20" s="720" t="s">
        <v>530</v>
      </c>
      <c r="C20" s="720"/>
      <c r="D20" s="720"/>
      <c r="E20" s="720"/>
      <c r="F20" s="721">
        <f>26327052+20+17769</f>
        <v>26344841</v>
      </c>
    </row>
    <row r="21" spans="2:6" ht="14.25">
      <c r="B21" s="720" t="s">
        <v>526</v>
      </c>
      <c r="C21" s="720"/>
      <c r="D21" s="720"/>
      <c r="E21" s="720"/>
      <c r="F21" s="721">
        <v>0</v>
      </c>
    </row>
    <row r="22" spans="2:6" ht="14.25">
      <c r="B22" s="720" t="s">
        <v>959</v>
      </c>
      <c r="C22" s="720"/>
      <c r="D22" s="720"/>
      <c r="E22" s="720"/>
      <c r="F22" s="721">
        <v>-20</v>
      </c>
    </row>
    <row r="23" spans="2:6" ht="14.25" hidden="1">
      <c r="B23" s="720" t="s">
        <v>528</v>
      </c>
      <c r="C23" s="720"/>
      <c r="D23" s="720"/>
      <c r="E23" s="720"/>
      <c r="F23" s="721"/>
    </row>
    <row r="24" spans="2:6" ht="14.25">
      <c r="B24" s="720" t="s">
        <v>529</v>
      </c>
      <c r="C24" s="720"/>
      <c r="D24" s="720"/>
      <c r="E24" s="720"/>
      <c r="F24" s="722">
        <v>-17769</v>
      </c>
    </row>
    <row r="25" spans="2:6" ht="14.25">
      <c r="B25" s="723" t="s">
        <v>534</v>
      </c>
      <c r="C25" s="720"/>
      <c r="D25" s="720"/>
      <c r="E25" s="720"/>
      <c r="F25" s="724">
        <f>SUM(F20:F24)</f>
        <v>26327052</v>
      </c>
    </row>
    <row r="26" spans="2:6" ht="14.25">
      <c r="B26" s="723"/>
      <c r="C26" s="720"/>
      <c r="D26" s="720"/>
      <c r="E26" s="720"/>
      <c r="F26" s="724"/>
    </row>
    <row r="27" spans="2:6" ht="14.25">
      <c r="B27" s="723" t="s">
        <v>960</v>
      </c>
      <c r="C27" s="720"/>
      <c r="D27" s="720"/>
      <c r="E27" s="720"/>
      <c r="F27" s="724"/>
    </row>
    <row r="28" spans="2:6" ht="14.25">
      <c r="B28" s="723" t="s">
        <v>961</v>
      </c>
      <c r="C28" s="720"/>
      <c r="D28" s="720"/>
      <c r="E28" s="720"/>
      <c r="F28" s="724"/>
    </row>
    <row r="29" spans="2:6" s="455" customFormat="1" ht="14.25">
      <c r="B29" s="723"/>
      <c r="C29" s="720"/>
      <c r="D29" s="720"/>
      <c r="E29" s="720"/>
      <c r="F29" s="724"/>
    </row>
    <row r="30" spans="2:7" ht="18">
      <c r="B30" s="720"/>
      <c r="C30" s="720"/>
      <c r="D30" s="720"/>
      <c r="E30" s="720"/>
      <c r="F30" s="726" t="s">
        <v>525</v>
      </c>
      <c r="G30" s="59"/>
    </row>
    <row r="31" spans="2:6" ht="18">
      <c r="B31" s="727" t="s">
        <v>535</v>
      </c>
      <c r="C31" s="720"/>
      <c r="D31" s="720"/>
      <c r="E31" s="720"/>
      <c r="F31" s="728">
        <v>2023</v>
      </c>
    </row>
    <row r="32" spans="2:6" ht="14.25">
      <c r="B32" s="720" t="s">
        <v>530</v>
      </c>
      <c r="C32" s="720"/>
      <c r="D32" s="720"/>
      <c r="E32" s="720"/>
      <c r="F32" s="721">
        <f>20386218-5+4755</f>
        <v>20390968</v>
      </c>
    </row>
    <row r="33" spans="2:6" ht="14.25" hidden="1">
      <c r="B33" s="720" t="s">
        <v>526</v>
      </c>
      <c r="C33" s="720"/>
      <c r="D33" s="720"/>
      <c r="E33" s="720"/>
      <c r="F33" s="721">
        <v>0</v>
      </c>
    </row>
    <row r="34" spans="2:6" ht="14.25">
      <c r="B34" s="720" t="s">
        <v>596</v>
      </c>
      <c r="C34" s="720"/>
      <c r="D34" s="720"/>
      <c r="E34" s="720"/>
      <c r="F34" s="721">
        <v>5</v>
      </c>
    </row>
    <row r="35" spans="2:6" ht="14.25" hidden="1">
      <c r="B35" s="720" t="s">
        <v>528</v>
      </c>
      <c r="C35" s="720"/>
      <c r="D35" s="720"/>
      <c r="E35" s="720"/>
      <c r="F35" s="721"/>
    </row>
    <row r="36" spans="2:6" ht="14.25">
      <c r="B36" s="720" t="s">
        <v>529</v>
      </c>
      <c r="C36" s="720"/>
      <c r="D36" s="720"/>
      <c r="E36" s="720"/>
      <c r="F36" s="722">
        <v>-4755</v>
      </c>
    </row>
    <row r="37" spans="2:6" ht="14.25">
      <c r="B37" s="723" t="s">
        <v>534</v>
      </c>
      <c r="C37" s="720"/>
      <c r="D37" s="720"/>
      <c r="E37" s="720"/>
      <c r="F37" s="724">
        <f>SUM(F32:F36)</f>
        <v>20386218</v>
      </c>
    </row>
    <row r="38" spans="2:6" ht="14.25">
      <c r="B38" s="723"/>
      <c r="C38" s="720"/>
      <c r="D38" s="720"/>
      <c r="E38" s="720"/>
      <c r="F38" s="724"/>
    </row>
    <row r="39" spans="2:6" ht="14.25">
      <c r="B39" s="723"/>
      <c r="C39" s="720"/>
      <c r="D39" s="720"/>
      <c r="E39" s="720"/>
      <c r="F39" s="724"/>
    </row>
    <row r="40" spans="2:6" ht="14.25">
      <c r="B40" s="723"/>
      <c r="C40" s="720"/>
      <c r="D40" s="720"/>
      <c r="E40" s="720"/>
      <c r="F40" s="724"/>
    </row>
    <row r="41" spans="2:7" ht="18">
      <c r="B41" s="720"/>
      <c r="C41" s="720"/>
      <c r="D41" s="720"/>
      <c r="E41" s="720"/>
      <c r="F41" s="726" t="s">
        <v>525</v>
      </c>
      <c r="G41" s="59"/>
    </row>
    <row r="42" spans="2:6" ht="18">
      <c r="B42" s="727" t="s">
        <v>536</v>
      </c>
      <c r="C42" s="720"/>
      <c r="D42" s="720"/>
      <c r="E42" s="720"/>
      <c r="F42" s="728">
        <v>2023</v>
      </c>
    </row>
    <row r="43" spans="2:6" ht="14.25">
      <c r="B43" s="720" t="s">
        <v>530</v>
      </c>
      <c r="C43" s="720"/>
      <c r="D43" s="720"/>
      <c r="E43" s="720"/>
      <c r="F43" s="721">
        <v>7448653</v>
      </c>
    </row>
    <row r="44" spans="2:6" ht="14.25" hidden="1">
      <c r="B44" s="720" t="s">
        <v>526</v>
      </c>
      <c r="C44" s="720"/>
      <c r="D44" s="720"/>
      <c r="E44" s="720"/>
      <c r="F44" s="721">
        <v>0</v>
      </c>
    </row>
    <row r="45" spans="2:6" ht="14.25" hidden="1">
      <c r="B45" s="720" t="s">
        <v>527</v>
      </c>
      <c r="C45" s="720"/>
      <c r="D45" s="720"/>
      <c r="E45" s="720"/>
      <c r="F45" s="721">
        <v>0</v>
      </c>
    </row>
    <row r="46" spans="2:6" ht="14.25">
      <c r="B46" s="720" t="s">
        <v>596</v>
      </c>
      <c r="C46" s="720"/>
      <c r="D46" s="720"/>
      <c r="E46" s="720"/>
      <c r="F46" s="722">
        <v>0</v>
      </c>
    </row>
    <row r="47" spans="2:6" ht="14.25" hidden="1">
      <c r="B47" s="720" t="s">
        <v>528</v>
      </c>
      <c r="C47" s="720"/>
      <c r="D47" s="720"/>
      <c r="E47" s="720"/>
      <c r="F47" s="725"/>
    </row>
    <row r="48" spans="2:6" ht="14.25" hidden="1">
      <c r="B48" s="720" t="s">
        <v>533</v>
      </c>
      <c r="C48" s="720"/>
      <c r="D48" s="720"/>
      <c r="E48" s="720"/>
      <c r="F48" s="729">
        <v>0</v>
      </c>
    </row>
    <row r="49" spans="2:6" ht="14.25">
      <c r="B49" s="723" t="s">
        <v>537</v>
      </c>
      <c r="C49" s="720"/>
      <c r="D49" s="720"/>
      <c r="E49" s="720"/>
      <c r="F49" s="724">
        <f>SUM(F43:F48)</f>
        <v>7448653</v>
      </c>
    </row>
    <row r="50" spans="2:6" ht="14.25">
      <c r="B50" s="725"/>
      <c r="C50" s="725"/>
      <c r="D50" s="725"/>
      <c r="E50" s="725"/>
      <c r="F50" s="725"/>
    </row>
    <row r="51" spans="2:6" ht="14.25">
      <c r="B51" s="725"/>
      <c r="C51" s="725"/>
      <c r="D51" s="725"/>
      <c r="E51" s="725"/>
      <c r="F51" s="725"/>
    </row>
    <row r="52" spans="2:6" ht="18">
      <c r="B52" s="675" t="s">
        <v>538</v>
      </c>
      <c r="C52" s="720"/>
      <c r="D52" s="720"/>
      <c r="E52" s="720"/>
      <c r="F52" s="725"/>
    </row>
    <row r="53" spans="2:6" ht="18">
      <c r="B53" s="730"/>
      <c r="C53" s="730" t="s">
        <v>813</v>
      </c>
      <c r="D53" s="730"/>
      <c r="E53" s="730"/>
      <c r="F53" s="730"/>
    </row>
    <row r="54" spans="2:6" ht="18">
      <c r="B54" s="826" t="s">
        <v>964</v>
      </c>
      <c r="C54" s="826"/>
      <c r="D54" s="826"/>
      <c r="E54" s="826"/>
      <c r="F54" s="826"/>
    </row>
    <row r="55" spans="2:6" ht="14.25">
      <c r="B55" s="725"/>
      <c r="C55" s="725"/>
      <c r="D55" s="725"/>
      <c r="E55" s="725"/>
      <c r="F55" s="725"/>
    </row>
    <row r="56" spans="1:6" ht="18">
      <c r="A56" s="33"/>
      <c r="B56" s="675"/>
      <c r="C56" s="720"/>
      <c r="D56" s="720"/>
      <c r="E56" s="720"/>
      <c r="F56" s="675"/>
    </row>
    <row r="57" spans="2:7" ht="18">
      <c r="B57" s="720"/>
      <c r="C57" s="720"/>
      <c r="D57" s="720"/>
      <c r="E57" s="720"/>
      <c r="F57" s="726" t="s">
        <v>525</v>
      </c>
      <c r="G57" s="59"/>
    </row>
    <row r="58" spans="2:6" ht="18">
      <c r="B58" s="727" t="s">
        <v>812</v>
      </c>
      <c r="C58" s="720"/>
      <c r="D58" s="720"/>
      <c r="E58" s="720"/>
      <c r="F58" s="728">
        <v>2023</v>
      </c>
    </row>
    <row r="59" spans="2:6" ht="14.25">
      <c r="B59" s="720" t="s">
        <v>530</v>
      </c>
      <c r="C59" s="720"/>
      <c r="D59" s="720"/>
      <c r="E59" s="720"/>
      <c r="F59" s="725">
        <f>+F9+F20+F32+F43</f>
        <v>510222139.71</v>
      </c>
    </row>
    <row r="60" spans="2:6" ht="14.25">
      <c r="B60" s="720" t="s">
        <v>526</v>
      </c>
      <c r="C60" s="720"/>
      <c r="D60" s="720"/>
      <c r="E60" s="720"/>
      <c r="F60" s="725">
        <f>+F10+F21</f>
        <v>0</v>
      </c>
    </row>
    <row r="61" spans="2:6" ht="14.25">
      <c r="B61" s="720" t="s">
        <v>596</v>
      </c>
      <c r="C61" s="720"/>
      <c r="D61" s="720"/>
      <c r="E61" s="720"/>
      <c r="F61" s="725">
        <f>+F11+F22+F34+F46</f>
        <v>-1552.5</v>
      </c>
    </row>
    <row r="62" spans="2:6" ht="14.25">
      <c r="B62" s="720" t="s">
        <v>529</v>
      </c>
      <c r="C62" s="720"/>
      <c r="D62" s="720"/>
      <c r="E62" s="720"/>
      <c r="F62" s="729">
        <f>+F12+F24+F36</f>
        <v>-1189442</v>
      </c>
    </row>
    <row r="63" spans="2:6" ht="14.25">
      <c r="B63" s="723" t="s">
        <v>809</v>
      </c>
      <c r="C63" s="720"/>
      <c r="D63" s="720"/>
      <c r="E63" s="720"/>
      <c r="F63" s="724">
        <f>SUM(F59:F62)</f>
        <v>509031145.21</v>
      </c>
    </row>
    <row r="64" spans="2:6" ht="18">
      <c r="B64" s="727" t="s">
        <v>810</v>
      </c>
      <c r="C64" s="720"/>
      <c r="D64" s="720"/>
      <c r="E64" s="720"/>
      <c r="F64" s="725"/>
    </row>
    <row r="65" spans="2:7" ht="14.25">
      <c r="B65" s="720" t="s">
        <v>811</v>
      </c>
      <c r="C65" s="720"/>
      <c r="D65" s="720"/>
      <c r="E65" s="720"/>
      <c r="F65" s="731">
        <v>59100259.92</v>
      </c>
      <c r="G65" s="4"/>
    </row>
    <row r="66" spans="2:6" ht="14.25">
      <c r="B66" s="732" t="s">
        <v>519</v>
      </c>
      <c r="C66" s="725"/>
      <c r="D66" s="725"/>
      <c r="E66" s="725"/>
      <c r="F66" s="733">
        <f>276898.05+20411.93+452655.15</f>
        <v>749965.13</v>
      </c>
    </row>
    <row r="67" spans="2:6" ht="14.25">
      <c r="B67" s="734" t="s">
        <v>965</v>
      </c>
      <c r="C67" s="724"/>
      <c r="D67" s="724"/>
      <c r="E67" s="724"/>
      <c r="F67" s="724">
        <f>+F63+F65+F66</f>
        <v>568881370.26</v>
      </c>
    </row>
    <row r="69" s="4" customFormat="1" ht="14.25">
      <c r="B69" s="4" t="s">
        <v>962</v>
      </c>
    </row>
    <row r="70" s="4" customFormat="1" ht="14.25">
      <c r="B70" s="4" t="s">
        <v>963</v>
      </c>
    </row>
    <row r="71" s="4" customFormat="1" ht="14.25"/>
    <row r="72" s="4" customFormat="1" ht="14.25"/>
    <row r="74" spans="1:3" ht="14.25">
      <c r="A74" s="59" t="s">
        <v>848</v>
      </c>
      <c r="B74" s="59"/>
      <c r="C74" s="59"/>
    </row>
    <row r="75" spans="1:2" ht="14.25">
      <c r="A75" s="388" t="s">
        <v>847</v>
      </c>
      <c r="B75" s="388"/>
    </row>
  </sheetData>
  <sheetProtection/>
  <mergeCells count="2">
    <mergeCell ref="B4:F4"/>
    <mergeCell ref="B54:F54"/>
  </mergeCells>
  <printOptions/>
  <pageMargins left="0.7" right="0.7" top="0.75" bottom="0.75" header="0.3" footer="0.3"/>
  <pageSetup horizontalDpi="600" verticalDpi="600" orientation="portrait" scale="85" r:id="rId1"/>
  <rowBreaks count="1" manualBreakCount="1">
    <brk id="50" max="9" man="1"/>
  </rowBreaks>
  <ignoredErrors>
    <ignoredError sqref="F49" formulaRange="1"/>
  </ignoredErrors>
</worksheet>
</file>

<file path=xl/worksheets/sheet11.xml><?xml version="1.0" encoding="utf-8"?>
<worksheet xmlns="http://schemas.openxmlformats.org/spreadsheetml/2006/main" xmlns:r="http://schemas.openxmlformats.org/officeDocument/2006/relationships">
  <dimension ref="A1:N38"/>
  <sheetViews>
    <sheetView workbookViewId="0" topLeftCell="A1">
      <selection activeCell="H41" sqref="H41"/>
    </sheetView>
  </sheetViews>
  <sheetFormatPr defaultColWidth="11.421875" defaultRowHeight="15"/>
  <cols>
    <col min="14" max="14" width="19.00390625" style="0" customWidth="1"/>
  </cols>
  <sheetData>
    <row r="1" spans="1:5" ht="18">
      <c r="A1" s="32" t="s">
        <v>620</v>
      </c>
      <c r="B1" s="31"/>
      <c r="C1" s="31"/>
      <c r="D1" s="31"/>
      <c r="E1" s="31"/>
    </row>
    <row r="2" spans="1:5" ht="18">
      <c r="A2" s="32" t="s">
        <v>621</v>
      </c>
      <c r="B2" s="31"/>
      <c r="C2" s="31"/>
      <c r="D2" s="31"/>
      <c r="E2" s="31"/>
    </row>
    <row r="3" spans="1:5" ht="18">
      <c r="A3" s="32" t="s">
        <v>622</v>
      </c>
      <c r="B3" s="43"/>
      <c r="C3" s="32" t="s">
        <v>1027</v>
      </c>
      <c r="D3" s="31"/>
      <c r="E3" s="31"/>
    </row>
    <row r="7" s="168" customFormat="1" ht="14.25">
      <c r="A7" s="386" t="s">
        <v>626</v>
      </c>
    </row>
    <row r="8" s="168" customFormat="1" ht="14.25">
      <c r="A8" s="386"/>
    </row>
    <row r="9" s="168" customFormat="1" ht="14.25">
      <c r="A9" s="386"/>
    </row>
    <row r="10" spans="1:13" s="168" customFormat="1" ht="18">
      <c r="A10" s="428" t="s">
        <v>624</v>
      </c>
      <c r="B10" s="429"/>
      <c r="C10" s="430"/>
      <c r="D10" s="430"/>
      <c r="E10" s="430"/>
      <c r="F10" s="431"/>
      <c r="G10" s="431"/>
      <c r="H10" s="108"/>
      <c r="I10" s="108"/>
      <c r="J10" s="108"/>
      <c r="K10" s="108"/>
      <c r="L10" s="108"/>
      <c r="M10" s="108"/>
    </row>
    <row r="11" spans="1:14" s="168" customFormat="1" ht="18">
      <c r="A11" s="428"/>
      <c r="B11" s="432"/>
      <c r="C11" s="432"/>
      <c r="D11" s="432"/>
      <c r="E11" s="432"/>
      <c r="F11" s="432"/>
      <c r="G11" s="432"/>
      <c r="H11" s="432"/>
      <c r="I11" s="432"/>
      <c r="J11" s="432"/>
      <c r="K11" s="432"/>
      <c r="L11" s="432"/>
      <c r="M11" s="432"/>
      <c r="N11" s="433"/>
    </row>
    <row r="12" spans="1:14" s="168" customFormat="1" ht="15">
      <c r="A12" s="434" t="s">
        <v>1028</v>
      </c>
      <c r="B12" s="434"/>
      <c r="C12" s="434"/>
      <c r="D12" s="434"/>
      <c r="E12" s="434"/>
      <c r="F12" s="434"/>
      <c r="G12" s="434"/>
      <c r="H12" s="434"/>
      <c r="I12" s="434"/>
      <c r="J12" s="434"/>
      <c r="K12" s="434"/>
      <c r="L12" s="434"/>
      <c r="M12" s="434"/>
      <c r="N12" s="434"/>
    </row>
    <row r="13" spans="1:14" s="168" customFormat="1" ht="15">
      <c r="A13" s="434" t="s">
        <v>1029</v>
      </c>
      <c r="B13" s="434"/>
      <c r="C13" s="434"/>
      <c r="D13" s="434"/>
      <c r="E13" s="434"/>
      <c r="F13" s="434"/>
      <c r="G13" s="434"/>
      <c r="H13" s="434"/>
      <c r="I13" s="434"/>
      <c r="J13" s="434"/>
      <c r="K13" s="434"/>
      <c r="L13" s="434"/>
      <c r="M13" s="434"/>
      <c r="N13" s="434"/>
    </row>
    <row r="14" s="168" customFormat="1" ht="14.25">
      <c r="A14" s="386"/>
    </row>
    <row r="15" s="168" customFormat="1" ht="14.25">
      <c r="A15" s="386" t="s">
        <v>625</v>
      </c>
    </row>
    <row r="16" s="168" customFormat="1" ht="14.25">
      <c r="A16" s="386"/>
    </row>
    <row r="17" s="168" customFormat="1" ht="18">
      <c r="A17" s="428" t="s">
        <v>623</v>
      </c>
    </row>
    <row r="18" s="168" customFormat="1" ht="18">
      <c r="A18" s="428"/>
    </row>
    <row r="19" spans="1:14" s="439" customFormat="1" ht="15">
      <c r="A19" s="435" t="s">
        <v>1030</v>
      </c>
      <c r="B19" s="436"/>
      <c r="C19" s="437"/>
      <c r="D19" s="437"/>
      <c r="E19" s="437"/>
      <c r="F19" s="438"/>
      <c r="G19" s="438"/>
      <c r="H19" s="438"/>
      <c r="I19" s="438"/>
      <c r="J19" s="438"/>
      <c r="K19" s="438"/>
      <c r="L19" s="438"/>
      <c r="M19" s="438"/>
      <c r="N19" s="434"/>
    </row>
    <row r="20" spans="1:14" s="439" customFormat="1" ht="16.5">
      <c r="A20" s="440"/>
      <c r="B20" s="435"/>
      <c r="C20" s="437"/>
      <c r="D20" s="437"/>
      <c r="E20" s="437"/>
      <c r="F20" s="438"/>
      <c r="G20" s="438"/>
      <c r="H20" s="438"/>
      <c r="I20" s="438"/>
      <c r="J20" s="438"/>
      <c r="K20" s="438"/>
      <c r="L20" s="438"/>
      <c r="M20" s="438"/>
      <c r="N20" s="434"/>
    </row>
    <row r="21" spans="1:13" s="439" customFormat="1" ht="16.5">
      <c r="A21" s="440"/>
      <c r="B21" s="441"/>
      <c r="C21" s="442"/>
      <c r="D21" s="442"/>
      <c r="E21" s="442"/>
      <c r="F21" s="443"/>
      <c r="G21" s="443"/>
      <c r="H21" s="444"/>
      <c r="I21" s="444"/>
      <c r="J21" s="444"/>
      <c r="K21" s="444"/>
      <c r="L21" s="444"/>
      <c r="M21" s="444"/>
    </row>
    <row r="22" spans="1:13" s="168" customFormat="1" ht="16.5">
      <c r="A22" s="440" t="s">
        <v>627</v>
      </c>
      <c r="B22" s="441"/>
      <c r="C22" s="442"/>
      <c r="D22" s="442"/>
      <c r="E22" s="442"/>
      <c r="F22" s="443"/>
      <c r="G22" s="443"/>
      <c r="H22" s="444"/>
      <c r="I22" s="444"/>
      <c r="J22" s="444"/>
      <c r="K22" s="444"/>
      <c r="L22" s="444"/>
      <c r="M22" s="108"/>
    </row>
    <row r="23" spans="1:14" s="168" customFormat="1" ht="14.25">
      <c r="A23" s="386" t="s">
        <v>628</v>
      </c>
      <c r="B23" s="445"/>
      <c r="C23" s="445"/>
      <c r="D23" s="445"/>
      <c r="E23" s="445"/>
      <c r="F23" s="445"/>
      <c r="G23" s="445"/>
      <c r="H23" s="445"/>
      <c r="I23" s="445"/>
      <c r="J23" s="445"/>
      <c r="K23" s="445"/>
      <c r="L23" s="445"/>
      <c r="M23" s="445"/>
      <c r="N23" s="445"/>
    </row>
    <row r="24" spans="1:14" s="168" customFormat="1" ht="14.25">
      <c r="A24" s="386"/>
      <c r="B24" s="445"/>
      <c r="C24" s="445"/>
      <c r="D24" s="445"/>
      <c r="E24" s="445"/>
      <c r="F24" s="445"/>
      <c r="G24" s="445"/>
      <c r="H24" s="445"/>
      <c r="I24" s="445"/>
      <c r="J24" s="445"/>
      <c r="K24" s="445"/>
      <c r="L24" s="445"/>
      <c r="M24" s="445"/>
      <c r="N24" s="445"/>
    </row>
    <row r="25" s="168" customFormat="1" ht="18">
      <c r="A25" s="428" t="s">
        <v>519</v>
      </c>
    </row>
    <row r="26" s="168" customFormat="1" ht="14.25"/>
    <row r="27" s="168" customFormat="1" ht="15">
      <c r="A27" s="434" t="s">
        <v>1031</v>
      </c>
    </row>
    <row r="28" s="168" customFormat="1" ht="15">
      <c r="A28" s="434" t="s">
        <v>1032</v>
      </c>
    </row>
    <row r="29" s="168" customFormat="1" ht="15">
      <c r="A29" s="434" t="s">
        <v>1034</v>
      </c>
    </row>
    <row r="30" s="168" customFormat="1" ht="15">
      <c r="A30" s="434" t="s">
        <v>1033</v>
      </c>
    </row>
    <row r="31" s="168" customFormat="1" ht="14.25"/>
    <row r="32" s="168" customFormat="1" ht="14.25"/>
    <row r="36" ht="14.25">
      <c r="E36" s="636">
        <v>276898.05</v>
      </c>
    </row>
    <row r="37" ht="14.25">
      <c r="E37" s="636">
        <v>452655.15</v>
      </c>
    </row>
    <row r="38" ht="14.25">
      <c r="E38" s="636">
        <f>SUM(E36:E37)</f>
        <v>729553.2</v>
      </c>
    </row>
  </sheetData>
  <sheetProtection/>
  <printOptions/>
  <pageMargins left="0.7086614173228347" right="0.7086614173228347" top="0.7480314960629921" bottom="0.7480314960629921" header="0.31496062992125984" footer="0.31496062992125984"/>
  <pageSetup horizontalDpi="600" verticalDpi="600" orientation="landscape" scale="55" r:id="rId1"/>
  <colBreaks count="1" manualBreakCount="1">
    <brk id="16" max="31" man="1"/>
  </colBreaks>
</worksheet>
</file>

<file path=xl/worksheets/sheet12.xml><?xml version="1.0" encoding="utf-8"?>
<worksheet xmlns="http://schemas.openxmlformats.org/spreadsheetml/2006/main" xmlns:r="http://schemas.openxmlformats.org/officeDocument/2006/relationships">
  <dimension ref="A1:K106"/>
  <sheetViews>
    <sheetView zoomScalePageLayoutView="0" workbookViewId="0" topLeftCell="A82">
      <selection activeCell="A88" sqref="A88"/>
    </sheetView>
  </sheetViews>
  <sheetFormatPr defaultColWidth="11.421875" defaultRowHeight="15"/>
  <cols>
    <col min="1" max="1" width="25.7109375" style="456" customWidth="1"/>
    <col min="2" max="2" width="25.57421875" style="456" customWidth="1"/>
    <col min="3" max="3" width="71.28125" style="456" customWidth="1"/>
    <col min="4" max="4" width="22.421875" style="456" hidden="1" customWidth="1"/>
    <col min="5" max="5" width="18.7109375" style="456" customWidth="1"/>
    <col min="6" max="6" width="20.7109375" style="456" customWidth="1"/>
    <col min="7" max="11" width="11.421875" style="53" customWidth="1"/>
    <col min="12" max="21" width="11.421875" style="456" customWidth="1"/>
    <col min="22" max="16384" width="11.57421875" style="456" customWidth="1"/>
  </cols>
  <sheetData>
    <row r="1" ht="15.75">
      <c r="C1" s="576" t="s">
        <v>1069</v>
      </c>
    </row>
    <row r="2" ht="15.75">
      <c r="C2" s="576" t="s">
        <v>1093</v>
      </c>
    </row>
    <row r="3" ht="15"/>
    <row r="4" ht="15"/>
    <row r="5" ht="15">
      <c r="B5" s="576"/>
    </row>
    <row r="6" spans="1:6" ht="14.25">
      <c r="A6" s="577" t="s">
        <v>1070</v>
      </c>
      <c r="B6" s="577" t="s">
        <v>1201</v>
      </c>
      <c r="C6" s="577" t="s">
        <v>824</v>
      </c>
      <c r="D6" s="577"/>
      <c r="E6" s="577" t="s">
        <v>1071</v>
      </c>
      <c r="F6" s="578" t="s">
        <v>825</v>
      </c>
    </row>
    <row r="7" spans="1:10" ht="69" customHeight="1">
      <c r="A7" s="579">
        <v>42298</v>
      </c>
      <c r="B7" s="580" t="s">
        <v>903</v>
      </c>
      <c r="C7" s="580" t="s">
        <v>904</v>
      </c>
      <c r="D7" s="580"/>
      <c r="E7" s="581">
        <v>217362.39000000013</v>
      </c>
      <c r="F7" s="582" t="s">
        <v>1072</v>
      </c>
      <c r="J7" s="598"/>
    </row>
    <row r="8" spans="1:6" ht="69" customHeight="1">
      <c r="A8" s="583">
        <v>44691</v>
      </c>
      <c r="B8" s="580" t="s">
        <v>1073</v>
      </c>
      <c r="C8" s="580" t="s">
        <v>906</v>
      </c>
      <c r="D8" s="580">
        <v>2989</v>
      </c>
      <c r="E8" s="584">
        <v>53800</v>
      </c>
      <c r="F8" s="580"/>
    </row>
    <row r="9" spans="1:6" ht="69" customHeight="1">
      <c r="A9" s="585" t="s">
        <v>1074</v>
      </c>
      <c r="B9" s="586" t="s">
        <v>1075</v>
      </c>
      <c r="C9" s="587" t="s">
        <v>908</v>
      </c>
      <c r="D9" s="587"/>
      <c r="E9" s="588">
        <v>-0.58</v>
      </c>
      <c r="F9" s="464"/>
    </row>
    <row r="10" spans="1:6" ht="69" customHeight="1">
      <c r="A10" s="579">
        <v>44872</v>
      </c>
      <c r="B10" s="579" t="s">
        <v>912</v>
      </c>
      <c r="C10" s="579" t="s">
        <v>913</v>
      </c>
      <c r="D10" s="580"/>
      <c r="E10" s="581">
        <v>36103.5</v>
      </c>
      <c r="F10" s="582"/>
    </row>
    <row r="11" spans="1:6" ht="69" customHeight="1">
      <c r="A11" s="579">
        <v>44873</v>
      </c>
      <c r="B11" s="579" t="s">
        <v>918</v>
      </c>
      <c r="C11" s="579" t="s">
        <v>919</v>
      </c>
      <c r="D11" s="580"/>
      <c r="E11" s="584">
        <v>44.98</v>
      </c>
      <c r="F11" s="589" t="s">
        <v>1076</v>
      </c>
    </row>
    <row r="12" spans="1:6" ht="69" customHeight="1">
      <c r="A12" s="585">
        <v>45013</v>
      </c>
      <c r="B12" s="587" t="s">
        <v>1077</v>
      </c>
      <c r="C12" s="587" t="s">
        <v>1078</v>
      </c>
      <c r="D12" s="580"/>
      <c r="E12" s="584">
        <v>19368</v>
      </c>
      <c r="F12" s="580"/>
    </row>
    <row r="13" spans="1:6" ht="69" customHeight="1">
      <c r="A13" s="468">
        <v>45174</v>
      </c>
      <c r="B13" s="464" t="s">
        <v>1104</v>
      </c>
      <c r="C13" s="464" t="s">
        <v>1103</v>
      </c>
      <c r="D13" s="580"/>
      <c r="E13" s="584">
        <v>203750.3</v>
      </c>
      <c r="F13" s="580"/>
    </row>
    <row r="14" spans="1:6" ht="69" customHeight="1">
      <c r="A14" s="468">
        <v>45183</v>
      </c>
      <c r="B14" s="464" t="s">
        <v>1106</v>
      </c>
      <c r="C14" s="464" t="s">
        <v>1105</v>
      </c>
      <c r="D14" s="580"/>
      <c r="E14" s="584">
        <v>40578.1</v>
      </c>
      <c r="F14" s="580"/>
    </row>
    <row r="15" spans="1:6" ht="69" customHeight="1">
      <c r="A15" s="468">
        <v>45200</v>
      </c>
      <c r="B15" s="464" t="s">
        <v>1096</v>
      </c>
      <c r="C15" s="464" t="s">
        <v>1080</v>
      </c>
      <c r="D15" s="580"/>
      <c r="E15" s="584">
        <v>38000</v>
      </c>
      <c r="F15" s="580"/>
    </row>
    <row r="16" spans="1:6" ht="69" customHeight="1">
      <c r="A16" s="468">
        <v>45205</v>
      </c>
      <c r="B16" s="464" t="s">
        <v>1094</v>
      </c>
      <c r="C16" s="464" t="s">
        <v>1161</v>
      </c>
      <c r="D16" s="580"/>
      <c r="E16" s="584">
        <v>9664.39</v>
      </c>
      <c r="F16" s="580"/>
    </row>
    <row r="17" spans="1:6" ht="69" customHeight="1">
      <c r="A17" s="468">
        <v>45211</v>
      </c>
      <c r="B17" s="464" t="s">
        <v>1100</v>
      </c>
      <c r="C17" s="464" t="s">
        <v>1159</v>
      </c>
      <c r="D17" s="580"/>
      <c r="E17" s="584">
        <v>13369.3</v>
      </c>
      <c r="F17" s="580"/>
    </row>
    <row r="18" spans="1:6" ht="69" customHeight="1">
      <c r="A18" s="468">
        <v>45219</v>
      </c>
      <c r="B18" s="464" t="s">
        <v>1101</v>
      </c>
      <c r="C18" s="464" t="s">
        <v>1158</v>
      </c>
      <c r="D18" s="580"/>
      <c r="E18" s="584">
        <v>16030.75</v>
      </c>
      <c r="F18" s="580"/>
    </row>
    <row r="19" spans="1:6" ht="69" customHeight="1">
      <c r="A19" s="468">
        <v>45223</v>
      </c>
      <c r="B19" s="464" t="s">
        <v>1095</v>
      </c>
      <c r="C19" s="464" t="s">
        <v>1085</v>
      </c>
      <c r="D19" s="580"/>
      <c r="E19" s="599">
        <v>29493</v>
      </c>
      <c r="F19" s="580"/>
    </row>
    <row r="20" spans="1:6" ht="69" customHeight="1">
      <c r="A20" s="468">
        <v>45225</v>
      </c>
      <c r="B20" s="464" t="s">
        <v>1097</v>
      </c>
      <c r="C20" s="464" t="s">
        <v>1160</v>
      </c>
      <c r="D20" s="580"/>
      <c r="E20" s="599">
        <v>7288.5</v>
      </c>
      <c r="F20" s="580"/>
    </row>
    <row r="21" spans="1:6" ht="69" customHeight="1">
      <c r="A21" s="468">
        <v>45226</v>
      </c>
      <c r="B21" s="464" t="s">
        <v>1102</v>
      </c>
      <c r="C21" s="464" t="s">
        <v>920</v>
      </c>
      <c r="D21" s="580"/>
      <c r="E21" s="584">
        <v>14250</v>
      </c>
      <c r="F21" s="580"/>
    </row>
    <row r="22" spans="1:6" ht="69" customHeight="1">
      <c r="A22" s="468">
        <v>45230</v>
      </c>
      <c r="B22" s="464" t="s">
        <v>1099</v>
      </c>
      <c r="C22" s="464" t="s">
        <v>1098</v>
      </c>
      <c r="D22" s="580"/>
      <c r="E22" s="584">
        <v>7232</v>
      </c>
      <c r="F22" s="580"/>
    </row>
    <row r="23" spans="1:6" ht="69" customHeight="1">
      <c r="A23" s="468">
        <v>45231</v>
      </c>
      <c r="B23" s="464" t="s">
        <v>1111</v>
      </c>
      <c r="C23" s="464" t="s">
        <v>925</v>
      </c>
      <c r="D23" s="464"/>
      <c r="E23" s="599">
        <v>47500</v>
      </c>
      <c r="F23" s="580"/>
    </row>
    <row r="24" spans="1:6" ht="69" customHeight="1">
      <c r="A24" s="468">
        <v>45231</v>
      </c>
      <c r="B24" s="464" t="s">
        <v>1112</v>
      </c>
      <c r="C24" s="464" t="s">
        <v>1080</v>
      </c>
      <c r="D24" s="464"/>
      <c r="E24" s="599">
        <v>38000</v>
      </c>
      <c r="F24" s="580"/>
    </row>
    <row r="25" spans="1:6" ht="69" customHeight="1">
      <c r="A25" s="468">
        <v>45231</v>
      </c>
      <c r="B25" s="464" t="s">
        <v>1113</v>
      </c>
      <c r="C25" s="464" t="s">
        <v>1080</v>
      </c>
      <c r="D25" s="464"/>
      <c r="E25" s="599">
        <v>38000</v>
      </c>
      <c r="F25" s="580"/>
    </row>
    <row r="26" spans="1:6" ht="69" customHeight="1">
      <c r="A26" s="468">
        <v>45231</v>
      </c>
      <c r="B26" s="464" t="s">
        <v>1121</v>
      </c>
      <c r="C26" s="464" t="s">
        <v>1165</v>
      </c>
      <c r="D26" s="464"/>
      <c r="E26" s="599">
        <v>97465.89</v>
      </c>
      <c r="F26" s="580"/>
    </row>
    <row r="27" spans="1:6" ht="69" customHeight="1">
      <c r="A27" s="468">
        <v>45233</v>
      </c>
      <c r="B27" s="464" t="s">
        <v>1187</v>
      </c>
      <c r="C27" s="464" t="s">
        <v>1159</v>
      </c>
      <c r="D27" s="464"/>
      <c r="E27" s="599">
        <v>4491.75</v>
      </c>
      <c r="F27" s="580"/>
    </row>
    <row r="28" spans="1:6" ht="69" customHeight="1">
      <c r="A28" s="468">
        <v>45233</v>
      </c>
      <c r="B28" s="464" t="s">
        <v>1187</v>
      </c>
      <c r="C28" s="464" t="s">
        <v>1162</v>
      </c>
      <c r="D28" s="599"/>
      <c r="E28" s="465">
        <v>-214.65</v>
      </c>
      <c r="F28" s="580"/>
    </row>
    <row r="29" spans="1:6" ht="69" customHeight="1">
      <c r="A29" s="468">
        <v>45233</v>
      </c>
      <c r="B29" s="464" t="s">
        <v>1117</v>
      </c>
      <c r="C29" s="464" t="s">
        <v>1164</v>
      </c>
      <c r="D29" s="464"/>
      <c r="E29" s="599">
        <v>33250</v>
      </c>
      <c r="F29" s="580"/>
    </row>
    <row r="30" spans="1:6" ht="69" customHeight="1">
      <c r="A30" s="468">
        <v>45240</v>
      </c>
      <c r="B30" s="464" t="s">
        <v>1108</v>
      </c>
      <c r="C30" s="464" t="s">
        <v>1109</v>
      </c>
      <c r="D30" s="464"/>
      <c r="E30" s="599">
        <v>25443.09</v>
      </c>
      <c r="F30" s="580"/>
    </row>
    <row r="31" spans="1:6" ht="69" customHeight="1">
      <c r="A31" s="468">
        <v>45243</v>
      </c>
      <c r="B31" s="464" t="s">
        <v>1107</v>
      </c>
      <c r="C31" s="464" t="s">
        <v>910</v>
      </c>
      <c r="D31" s="464"/>
      <c r="E31" s="599">
        <v>71828.38</v>
      </c>
      <c r="F31" s="580"/>
    </row>
    <row r="32" spans="1:6" ht="69" customHeight="1">
      <c r="A32" s="468">
        <v>45245</v>
      </c>
      <c r="B32" s="464" t="s">
        <v>1188</v>
      </c>
      <c r="C32" s="464" t="s">
        <v>1116</v>
      </c>
      <c r="D32" s="464"/>
      <c r="E32" s="599">
        <v>4068</v>
      </c>
      <c r="F32" s="580"/>
    </row>
    <row r="33" spans="1:6" ht="69" customHeight="1">
      <c r="A33" s="468">
        <v>45250</v>
      </c>
      <c r="B33" s="464" t="s">
        <v>1114</v>
      </c>
      <c r="C33" s="464" t="s">
        <v>1080</v>
      </c>
      <c r="D33" s="464"/>
      <c r="E33" s="599">
        <v>38000</v>
      </c>
      <c r="F33" s="580"/>
    </row>
    <row r="34" spans="1:6" ht="69" customHeight="1">
      <c r="A34" s="468">
        <v>45251</v>
      </c>
      <c r="B34" s="464" t="s">
        <v>1122</v>
      </c>
      <c r="C34" s="464" t="s">
        <v>1166</v>
      </c>
      <c r="D34" s="464"/>
      <c r="E34" s="599">
        <v>123633.3</v>
      </c>
      <c r="F34" s="580"/>
    </row>
    <row r="35" spans="1:6" ht="69" customHeight="1">
      <c r="A35" s="468">
        <v>45252</v>
      </c>
      <c r="B35" s="464" t="s">
        <v>921</v>
      </c>
      <c r="C35" s="464" t="s">
        <v>1118</v>
      </c>
      <c r="D35" s="464"/>
      <c r="E35" s="599">
        <v>47500</v>
      </c>
      <c r="F35" s="580"/>
    </row>
    <row r="36" spans="1:6" ht="69" customHeight="1">
      <c r="A36" s="468">
        <v>45253</v>
      </c>
      <c r="B36" s="464" t="s">
        <v>1120</v>
      </c>
      <c r="C36" s="464" t="s">
        <v>917</v>
      </c>
      <c r="D36" s="464"/>
      <c r="E36" s="599">
        <v>30436.35</v>
      </c>
      <c r="F36" s="580"/>
    </row>
    <row r="37" spans="1:6" ht="69" customHeight="1">
      <c r="A37" s="468">
        <v>45257</v>
      </c>
      <c r="B37" s="464" t="s">
        <v>1115</v>
      </c>
      <c r="C37" s="464" t="s">
        <v>1163</v>
      </c>
      <c r="D37" s="464"/>
      <c r="E37" s="599">
        <v>96511.55</v>
      </c>
      <c r="F37" s="580"/>
    </row>
    <row r="38" spans="1:6" ht="69" customHeight="1">
      <c r="A38" s="468">
        <v>45260</v>
      </c>
      <c r="B38" s="464" t="s">
        <v>1110</v>
      </c>
      <c r="C38" s="464" t="s">
        <v>907</v>
      </c>
      <c r="D38" s="464"/>
      <c r="E38" s="599">
        <v>45156.3</v>
      </c>
      <c r="F38" s="580"/>
    </row>
    <row r="39" spans="1:6" ht="69" customHeight="1">
      <c r="A39" s="468">
        <v>45260</v>
      </c>
      <c r="B39" s="464" t="s">
        <v>1119</v>
      </c>
      <c r="C39" s="464" t="s">
        <v>916</v>
      </c>
      <c r="D39" s="464"/>
      <c r="E39" s="599">
        <v>551000</v>
      </c>
      <c r="F39" s="580"/>
    </row>
    <row r="40" spans="1:6" ht="69" customHeight="1">
      <c r="A40" s="468">
        <v>45261</v>
      </c>
      <c r="B40" s="464" t="s">
        <v>1131</v>
      </c>
      <c r="C40" s="464" t="s">
        <v>922</v>
      </c>
      <c r="D40" s="464"/>
      <c r="E40" s="599">
        <v>29188.88</v>
      </c>
      <c r="F40" s="580"/>
    </row>
    <row r="41" spans="1:6" ht="69" customHeight="1">
      <c r="A41" s="468">
        <v>45261</v>
      </c>
      <c r="B41" s="464" t="s">
        <v>1132</v>
      </c>
      <c r="C41" s="464" t="s">
        <v>923</v>
      </c>
      <c r="D41" s="464"/>
      <c r="E41" s="599">
        <v>625325.95</v>
      </c>
      <c r="F41" s="580"/>
    </row>
    <row r="42" spans="1:6" ht="69" customHeight="1">
      <c r="A42" s="468">
        <v>45261</v>
      </c>
      <c r="B42" s="464" t="s">
        <v>1186</v>
      </c>
      <c r="C42" s="464" t="s">
        <v>905</v>
      </c>
      <c r="D42" s="464"/>
      <c r="E42" s="599">
        <v>22035</v>
      </c>
      <c r="F42" s="580"/>
    </row>
    <row r="43" spans="1:6" ht="69" customHeight="1">
      <c r="A43" s="468">
        <v>45264</v>
      </c>
      <c r="B43" s="464" t="s">
        <v>1189</v>
      </c>
      <c r="C43" s="464" t="s">
        <v>1079</v>
      </c>
      <c r="D43" s="464"/>
      <c r="E43" s="599">
        <v>192218.65</v>
      </c>
      <c r="F43" s="580"/>
    </row>
    <row r="44" spans="1:6" ht="69" customHeight="1">
      <c r="A44" s="468">
        <v>45264</v>
      </c>
      <c r="B44" s="464" t="s">
        <v>1137</v>
      </c>
      <c r="C44" s="464" t="s">
        <v>1138</v>
      </c>
      <c r="D44" s="464"/>
      <c r="E44" s="599">
        <v>47500</v>
      </c>
      <c r="F44" s="580"/>
    </row>
    <row r="45" spans="1:6" ht="69" customHeight="1">
      <c r="A45" s="468">
        <v>45264</v>
      </c>
      <c r="B45" s="464" t="s">
        <v>1145</v>
      </c>
      <c r="C45" s="464" t="s">
        <v>926</v>
      </c>
      <c r="D45" s="464"/>
      <c r="E45" s="599">
        <v>47500</v>
      </c>
      <c r="F45" s="580"/>
    </row>
    <row r="46" spans="1:6" ht="69" customHeight="1">
      <c r="A46" s="468">
        <v>45266</v>
      </c>
      <c r="B46" s="464" t="s">
        <v>1141</v>
      </c>
      <c r="C46" s="464" t="s">
        <v>1170</v>
      </c>
      <c r="D46" s="464"/>
      <c r="E46" s="599">
        <v>1526.38</v>
      </c>
      <c r="F46" s="580"/>
    </row>
    <row r="47" spans="1:6" ht="69" customHeight="1">
      <c r="A47" s="468">
        <v>45266</v>
      </c>
      <c r="B47" s="464" t="s">
        <v>914</v>
      </c>
      <c r="C47" s="464" t="s">
        <v>1170</v>
      </c>
      <c r="D47" s="464"/>
      <c r="E47" s="599">
        <v>190118.11</v>
      </c>
      <c r="F47" s="580"/>
    </row>
    <row r="48" spans="1:6" ht="69" customHeight="1">
      <c r="A48" s="468">
        <v>45266</v>
      </c>
      <c r="B48" s="464" t="s">
        <v>924</v>
      </c>
      <c r="C48" s="464" t="s">
        <v>1083</v>
      </c>
      <c r="D48" s="464"/>
      <c r="E48" s="599">
        <v>542726.39</v>
      </c>
      <c r="F48" s="580"/>
    </row>
    <row r="49" spans="1:6" ht="69" customHeight="1">
      <c r="A49" s="468">
        <v>45267</v>
      </c>
      <c r="B49" s="464" t="s">
        <v>1126</v>
      </c>
      <c r="C49" s="464" t="s">
        <v>920</v>
      </c>
      <c r="D49" s="464"/>
      <c r="E49" s="599">
        <v>9500</v>
      </c>
      <c r="F49" s="580"/>
    </row>
    <row r="50" spans="1:6" ht="69" customHeight="1">
      <c r="A50" s="468">
        <v>45267</v>
      </c>
      <c r="B50" s="464" t="s">
        <v>1127</v>
      </c>
      <c r="C50" s="464" t="s">
        <v>1084</v>
      </c>
      <c r="D50" s="464"/>
      <c r="E50" s="599">
        <v>57517</v>
      </c>
      <c r="F50" s="580"/>
    </row>
    <row r="51" spans="1:6" ht="69" customHeight="1">
      <c r="A51" s="468">
        <v>45267</v>
      </c>
      <c r="B51" s="464" t="s">
        <v>1128</v>
      </c>
      <c r="C51" s="464" t="s">
        <v>1167</v>
      </c>
      <c r="D51" s="464"/>
      <c r="E51" s="599">
        <v>28495.89</v>
      </c>
      <c r="F51" s="580"/>
    </row>
    <row r="52" spans="1:6" ht="69" customHeight="1">
      <c r="A52" s="468">
        <v>45267</v>
      </c>
      <c r="B52" s="464" t="s">
        <v>1129</v>
      </c>
      <c r="C52" s="464" t="s">
        <v>1109</v>
      </c>
      <c r="D52" s="464"/>
      <c r="E52" s="599">
        <v>8844.72</v>
      </c>
      <c r="F52" s="580"/>
    </row>
    <row r="53" spans="1:6" ht="69" customHeight="1">
      <c r="A53" s="468">
        <v>45267</v>
      </c>
      <c r="B53" s="464" t="s">
        <v>1143</v>
      </c>
      <c r="C53" s="464" t="s">
        <v>907</v>
      </c>
      <c r="D53" s="464"/>
      <c r="E53" s="599">
        <v>45156.3</v>
      </c>
      <c r="F53" s="580"/>
    </row>
    <row r="54" spans="1:6" ht="69" customHeight="1">
      <c r="A54" s="468">
        <v>45267</v>
      </c>
      <c r="B54" s="464" t="s">
        <v>1155</v>
      </c>
      <c r="C54" s="464" t="s">
        <v>1173</v>
      </c>
      <c r="D54" s="464"/>
      <c r="E54" s="599">
        <v>212765.8</v>
      </c>
      <c r="F54" s="580"/>
    </row>
    <row r="55" spans="1:6" ht="69" customHeight="1">
      <c r="A55" s="468">
        <v>45268</v>
      </c>
      <c r="B55" s="464" t="s">
        <v>1190</v>
      </c>
      <c r="C55" s="464" t="s">
        <v>1084</v>
      </c>
      <c r="D55" s="464"/>
      <c r="E55" s="599">
        <v>6893</v>
      </c>
      <c r="F55" s="580"/>
    </row>
    <row r="56" spans="1:6" ht="69" customHeight="1">
      <c r="A56" s="468">
        <v>45270</v>
      </c>
      <c r="B56" s="464" t="s">
        <v>1081</v>
      </c>
      <c r="C56" s="464" t="s">
        <v>1080</v>
      </c>
      <c r="D56" s="464"/>
      <c r="E56" s="599">
        <v>38000</v>
      </c>
      <c r="F56" s="580"/>
    </row>
    <row r="57" spans="1:6" ht="69" customHeight="1">
      <c r="A57" s="468">
        <v>45271</v>
      </c>
      <c r="B57" s="464" t="s">
        <v>1151</v>
      </c>
      <c r="C57" s="464" t="s">
        <v>1118</v>
      </c>
      <c r="D57" s="464"/>
      <c r="E57" s="599">
        <v>47500</v>
      </c>
      <c r="F57" s="580"/>
    </row>
    <row r="58" spans="1:6" ht="69" customHeight="1">
      <c r="A58" s="468">
        <v>45271</v>
      </c>
      <c r="B58" s="464" t="s">
        <v>1191</v>
      </c>
      <c r="C58" s="464" t="s">
        <v>1156</v>
      </c>
      <c r="D58" s="464"/>
      <c r="E58" s="599">
        <v>61203.5</v>
      </c>
      <c r="F58" s="580"/>
    </row>
    <row r="59" spans="1:6" ht="69" customHeight="1">
      <c r="A59" s="468">
        <v>45272</v>
      </c>
      <c r="B59" s="464" t="s">
        <v>1192</v>
      </c>
      <c r="C59" s="464" t="s">
        <v>1098</v>
      </c>
      <c r="D59" s="464"/>
      <c r="E59" s="599">
        <v>9322.5</v>
      </c>
      <c r="F59" s="580"/>
    </row>
    <row r="60" spans="1:6" ht="69" customHeight="1">
      <c r="A60" s="468">
        <v>45272</v>
      </c>
      <c r="B60" s="464" t="s">
        <v>1193</v>
      </c>
      <c r="C60" s="464" t="s">
        <v>909</v>
      </c>
      <c r="D60" s="464"/>
      <c r="E60" s="599">
        <v>24143.82</v>
      </c>
      <c r="F60" s="580"/>
    </row>
    <row r="61" spans="1:6" ht="69" customHeight="1">
      <c r="A61" s="468">
        <v>45273</v>
      </c>
      <c r="B61" s="464" t="s">
        <v>1123</v>
      </c>
      <c r="C61" s="464" t="s">
        <v>1087</v>
      </c>
      <c r="D61" s="464"/>
      <c r="E61" s="599">
        <v>76000</v>
      </c>
      <c r="F61" s="580"/>
    </row>
    <row r="62" spans="1:6" ht="69" customHeight="1">
      <c r="A62" s="468">
        <v>45273</v>
      </c>
      <c r="B62" s="464" t="s">
        <v>1142</v>
      </c>
      <c r="C62" s="464" t="s">
        <v>1083</v>
      </c>
      <c r="D62" s="464"/>
      <c r="E62" s="599">
        <v>463830.05</v>
      </c>
      <c r="F62" s="580"/>
    </row>
    <row r="63" spans="1:6" ht="69" customHeight="1">
      <c r="A63" s="468">
        <v>45273</v>
      </c>
      <c r="B63" s="464" t="s">
        <v>1149</v>
      </c>
      <c r="C63" s="464" t="s">
        <v>1150</v>
      </c>
      <c r="D63" s="464"/>
      <c r="E63" s="599">
        <v>171132.26</v>
      </c>
      <c r="F63" s="580"/>
    </row>
    <row r="64" spans="1:6" ht="69" customHeight="1">
      <c r="A64" s="468">
        <v>45273</v>
      </c>
      <c r="B64" s="464" t="s">
        <v>1194</v>
      </c>
      <c r="C64" s="464" t="s">
        <v>915</v>
      </c>
      <c r="D64" s="464"/>
      <c r="E64" s="599">
        <v>565000</v>
      </c>
      <c r="F64" s="580"/>
    </row>
    <row r="65" spans="1:6" ht="69" customHeight="1">
      <c r="A65" s="468">
        <v>45273</v>
      </c>
      <c r="B65" s="464" t="s">
        <v>1195</v>
      </c>
      <c r="C65" s="464" t="s">
        <v>1152</v>
      </c>
      <c r="D65" s="464"/>
      <c r="E65" s="599">
        <v>206699.75</v>
      </c>
      <c r="F65" s="580"/>
    </row>
    <row r="66" spans="1:6" ht="69" customHeight="1">
      <c r="A66" s="468">
        <v>45275</v>
      </c>
      <c r="B66" s="464" t="s">
        <v>1130</v>
      </c>
      <c r="C66" s="464" t="s">
        <v>1169</v>
      </c>
      <c r="D66" s="464"/>
      <c r="E66" s="599">
        <v>42940</v>
      </c>
      <c r="F66" s="580"/>
    </row>
    <row r="67" spans="1:6" ht="69" customHeight="1">
      <c r="A67" s="468">
        <v>45275</v>
      </c>
      <c r="B67" s="464" t="s">
        <v>1196</v>
      </c>
      <c r="C67" s="464" t="s">
        <v>1172</v>
      </c>
      <c r="D67" s="464"/>
      <c r="E67" s="599">
        <v>37444.8</v>
      </c>
      <c r="F67" s="580"/>
    </row>
    <row r="68" spans="1:6" ht="69" customHeight="1">
      <c r="A68" s="468">
        <v>45275</v>
      </c>
      <c r="B68" s="464" t="s">
        <v>1153</v>
      </c>
      <c r="C68" s="464" t="s">
        <v>916</v>
      </c>
      <c r="D68" s="464"/>
      <c r="E68" s="599">
        <v>551000</v>
      </c>
      <c r="F68" s="580"/>
    </row>
    <row r="69" spans="1:6" ht="69" customHeight="1">
      <c r="A69" s="468">
        <v>45275</v>
      </c>
      <c r="B69" s="464" t="s">
        <v>1157</v>
      </c>
      <c r="C69" s="464" t="s">
        <v>928</v>
      </c>
      <c r="D69" s="464"/>
      <c r="E69" s="599">
        <v>45200</v>
      </c>
      <c r="F69" s="580"/>
    </row>
    <row r="70" spans="1:6" ht="69" customHeight="1">
      <c r="A70" s="468">
        <v>45278</v>
      </c>
      <c r="B70" s="464" t="s">
        <v>1124</v>
      </c>
      <c r="C70" s="464" t="s">
        <v>1125</v>
      </c>
      <c r="D70" s="464"/>
      <c r="E70" s="599">
        <v>950</v>
      </c>
      <c r="F70" s="580"/>
    </row>
    <row r="71" spans="1:6" ht="69" customHeight="1">
      <c r="A71" s="468">
        <v>45278</v>
      </c>
      <c r="B71" s="464" t="s">
        <v>1197</v>
      </c>
      <c r="C71" s="464" t="s">
        <v>1168</v>
      </c>
      <c r="D71" s="464"/>
      <c r="E71" s="599">
        <v>89439.5</v>
      </c>
      <c r="F71" s="580"/>
    </row>
    <row r="72" spans="1:6" ht="69" customHeight="1">
      <c r="A72" s="468">
        <v>45278</v>
      </c>
      <c r="B72" s="464" t="s">
        <v>1134</v>
      </c>
      <c r="C72" s="464" t="s">
        <v>1171</v>
      </c>
      <c r="D72" s="464"/>
      <c r="E72" s="599">
        <v>334905.55</v>
      </c>
      <c r="F72" s="580"/>
    </row>
    <row r="73" spans="1:6" ht="69" customHeight="1">
      <c r="A73" s="468">
        <v>45278</v>
      </c>
      <c r="B73" s="464" t="s">
        <v>1135</v>
      </c>
      <c r="C73" s="464" t="s">
        <v>1171</v>
      </c>
      <c r="D73" s="464"/>
      <c r="E73" s="599">
        <v>597391.02</v>
      </c>
      <c r="F73" s="580"/>
    </row>
    <row r="74" spans="1:6" ht="69" customHeight="1">
      <c r="A74" s="468">
        <v>45278</v>
      </c>
      <c r="B74" s="464" t="s">
        <v>1198</v>
      </c>
      <c r="C74" s="464" t="s">
        <v>1136</v>
      </c>
      <c r="D74" s="464"/>
      <c r="E74" s="599">
        <v>63280</v>
      </c>
      <c r="F74" s="580"/>
    </row>
    <row r="75" spans="1:6" ht="69" customHeight="1">
      <c r="A75" s="468">
        <v>45279</v>
      </c>
      <c r="B75" s="464" t="s">
        <v>1148</v>
      </c>
      <c r="C75" s="464" t="s">
        <v>1086</v>
      </c>
      <c r="D75" s="464"/>
      <c r="E75" s="599">
        <v>105000</v>
      </c>
      <c r="F75" s="580"/>
    </row>
    <row r="76" spans="1:6" ht="69" customHeight="1">
      <c r="A76" s="468">
        <v>45280</v>
      </c>
      <c r="B76" s="464" t="s">
        <v>1199</v>
      </c>
      <c r="C76" s="464" t="s">
        <v>911</v>
      </c>
      <c r="D76" s="464"/>
      <c r="E76" s="599">
        <v>70269.05</v>
      </c>
      <c r="F76" s="580"/>
    </row>
    <row r="77" spans="1:6" ht="69" customHeight="1">
      <c r="A77" s="468">
        <v>45280</v>
      </c>
      <c r="B77" s="464" t="s">
        <v>1154</v>
      </c>
      <c r="C77" s="464" t="s">
        <v>927</v>
      </c>
      <c r="D77" s="464"/>
      <c r="E77" s="599">
        <v>301068.8</v>
      </c>
      <c r="F77" s="580"/>
    </row>
    <row r="78" spans="1:6" ht="69" customHeight="1">
      <c r="A78" s="468">
        <v>45280</v>
      </c>
      <c r="B78" s="464" t="s">
        <v>1200</v>
      </c>
      <c r="C78" s="464" t="s">
        <v>1174</v>
      </c>
      <c r="D78" s="464"/>
      <c r="E78" s="599">
        <v>202622.56</v>
      </c>
      <c r="F78" s="580"/>
    </row>
    <row r="79" spans="1:6" ht="69" customHeight="1">
      <c r="A79" s="468">
        <v>45282</v>
      </c>
      <c r="B79" s="464" t="s">
        <v>1146</v>
      </c>
      <c r="C79" s="464" t="s">
        <v>926</v>
      </c>
      <c r="D79" s="464"/>
      <c r="E79" s="599">
        <v>47500</v>
      </c>
      <c r="F79" s="580"/>
    </row>
    <row r="80" spans="1:6" ht="69" customHeight="1">
      <c r="A80" s="468">
        <v>45286</v>
      </c>
      <c r="B80" s="464" t="s">
        <v>1133</v>
      </c>
      <c r="C80" s="464" t="s">
        <v>1082</v>
      </c>
      <c r="D80" s="464"/>
      <c r="E80" s="599">
        <v>24882.34</v>
      </c>
      <c r="F80" s="580"/>
    </row>
    <row r="81" spans="1:6" ht="69" customHeight="1">
      <c r="A81" s="468">
        <v>45286</v>
      </c>
      <c r="B81" s="464" t="s">
        <v>1126</v>
      </c>
      <c r="C81" s="464" t="s">
        <v>1082</v>
      </c>
      <c r="D81" s="464"/>
      <c r="E81" s="599">
        <v>24882.34</v>
      </c>
      <c r="F81" s="580"/>
    </row>
    <row r="82" spans="1:6" ht="69" customHeight="1">
      <c r="A82" s="468">
        <v>45287</v>
      </c>
      <c r="B82" s="464" t="s">
        <v>1139</v>
      </c>
      <c r="C82" s="464" t="s">
        <v>1140</v>
      </c>
      <c r="D82" s="464"/>
      <c r="E82" s="599">
        <v>40254.23</v>
      </c>
      <c r="F82" s="580"/>
    </row>
    <row r="83" spans="1:6" ht="69" customHeight="1">
      <c r="A83" s="468">
        <v>45287</v>
      </c>
      <c r="B83" s="464" t="s">
        <v>1144</v>
      </c>
      <c r="C83" s="464" t="s">
        <v>925</v>
      </c>
      <c r="D83" s="464"/>
      <c r="E83" s="599">
        <v>47500</v>
      </c>
      <c r="F83" s="580"/>
    </row>
    <row r="84" spans="1:6" ht="69" customHeight="1">
      <c r="A84" s="468">
        <v>45287</v>
      </c>
      <c r="B84" s="464" t="s">
        <v>1147</v>
      </c>
      <c r="C84" s="464" t="s">
        <v>926</v>
      </c>
      <c r="D84" s="464"/>
      <c r="E84" s="599">
        <v>47500</v>
      </c>
      <c r="F84" s="580"/>
    </row>
    <row r="85" spans="1:6" ht="27.75" customHeight="1">
      <c r="A85" s="590"/>
      <c r="B85" s="580"/>
      <c r="C85" s="591" t="s">
        <v>1088</v>
      </c>
      <c r="D85" s="591" t="s">
        <v>826</v>
      </c>
      <c r="E85" s="592">
        <f>SUM(E7:E84)</f>
        <v>8402578.73</v>
      </c>
      <c r="F85" s="469"/>
    </row>
    <row r="89" spans="2:8" ht="14.25">
      <c r="B89" s="597"/>
      <c r="H89" s="642"/>
    </row>
    <row r="91" spans="1:5" ht="15">
      <c r="A91" s="593"/>
      <c r="E91" s="594"/>
    </row>
    <row r="92" spans="1:5" ht="15">
      <c r="A92" s="593"/>
      <c r="E92" s="594"/>
    </row>
    <row r="93" spans="1:5" ht="14.25">
      <c r="A93" s="593"/>
      <c r="E93" s="595"/>
    </row>
    <row r="96" ht="15"/>
    <row r="97" spans="2:11" ht="18">
      <c r="B97" s="827" t="s">
        <v>1091</v>
      </c>
      <c r="C97" s="827"/>
      <c r="D97" s="827"/>
      <c r="E97" s="827"/>
      <c r="F97" s="827"/>
      <c r="G97" s="827"/>
      <c r="H97" s="827"/>
      <c r="I97" s="827"/>
      <c r="J97" s="827"/>
      <c r="K97" s="827"/>
    </row>
    <row r="101" ht="15"/>
    <row r="102" spans="1:6" ht="18">
      <c r="A102" s="596" t="s">
        <v>827</v>
      </c>
      <c r="C102" s="828" t="s">
        <v>1092</v>
      </c>
      <c r="D102" s="828"/>
      <c r="E102" s="828"/>
      <c r="F102" s="828"/>
    </row>
    <row r="106" ht="14.25">
      <c r="B106" s="597"/>
    </row>
  </sheetData>
  <sheetProtection/>
  <mergeCells count="2">
    <mergeCell ref="B97:K97"/>
    <mergeCell ref="C102:F102"/>
  </mergeCells>
  <printOptions/>
  <pageMargins left="0.7086614173228347" right="0.7086614173228347" top="0.7480314960629921" bottom="0.7480314960629921" header="0.31496062992125984" footer="0.31496062992125984"/>
  <pageSetup horizontalDpi="600" verticalDpi="600" orientation="portrait" scale="55" r:id="rId2"/>
  <drawing r:id="rId1"/>
</worksheet>
</file>

<file path=xl/worksheets/sheet13.xml><?xml version="1.0" encoding="utf-8"?>
<worksheet xmlns="http://schemas.openxmlformats.org/spreadsheetml/2006/main" xmlns:r="http://schemas.openxmlformats.org/officeDocument/2006/relationships">
  <dimension ref="A1:K29"/>
  <sheetViews>
    <sheetView zoomScalePageLayoutView="0" workbookViewId="0" topLeftCell="A1">
      <selection activeCell="D14" sqref="D14"/>
    </sheetView>
  </sheetViews>
  <sheetFormatPr defaultColWidth="11.421875" defaultRowHeight="15"/>
  <cols>
    <col min="2" max="2" width="42.8515625" style="0" bestFit="1" customWidth="1"/>
    <col min="3" max="3" width="48.8515625" style="0" customWidth="1"/>
    <col min="5" max="5" width="27.28125" style="0" customWidth="1"/>
    <col min="6" max="6" width="23.28125" style="0" customWidth="1"/>
  </cols>
  <sheetData>
    <row r="1" spans="3:9" s="456" customFormat="1" ht="15.75">
      <c r="C1" s="576" t="s">
        <v>1183</v>
      </c>
      <c r="E1" s="53"/>
      <c r="F1" s="53"/>
      <c r="G1" s="53"/>
      <c r="H1" s="53"/>
      <c r="I1" s="53"/>
    </row>
    <row r="2" spans="3:9" s="456" customFormat="1" ht="15.75">
      <c r="C2" s="576" t="s">
        <v>1093</v>
      </c>
      <c r="E2" s="53"/>
      <c r="F2" s="53"/>
      <c r="G2" s="53"/>
      <c r="H2" s="53"/>
      <c r="I2" s="53"/>
    </row>
    <row r="3" spans="3:9" s="456" customFormat="1" ht="15.75">
      <c r="C3" s="576"/>
      <c r="E3" s="53"/>
      <c r="F3" s="53"/>
      <c r="G3" s="53"/>
      <c r="H3" s="53"/>
      <c r="I3" s="53"/>
    </row>
    <row r="4" spans="5:9" s="456" customFormat="1" ht="15">
      <c r="E4" s="53"/>
      <c r="F4" s="53"/>
      <c r="G4" s="53"/>
      <c r="H4" s="53"/>
      <c r="I4" s="53"/>
    </row>
    <row r="5" spans="1:5" ht="28.5">
      <c r="A5" s="600" t="s">
        <v>1175</v>
      </c>
      <c r="B5" s="601" t="s">
        <v>1176</v>
      </c>
      <c r="C5" s="601" t="s">
        <v>1177</v>
      </c>
      <c r="D5" s="601" t="s">
        <v>1184</v>
      </c>
      <c r="E5" s="601" t="s">
        <v>1178</v>
      </c>
    </row>
    <row r="6" spans="1:5" ht="66" customHeight="1">
      <c r="A6" s="602">
        <v>45121</v>
      </c>
      <c r="B6" s="603" t="s">
        <v>1089</v>
      </c>
      <c r="C6" s="604" t="s">
        <v>1179</v>
      </c>
      <c r="D6" s="611">
        <v>5122.47</v>
      </c>
      <c r="E6" s="605" t="s">
        <v>1368</v>
      </c>
    </row>
    <row r="7" spans="1:5" ht="78" customHeight="1">
      <c r="A7" s="606">
        <v>45278</v>
      </c>
      <c r="B7" s="607" t="s">
        <v>1180</v>
      </c>
      <c r="C7" s="608" t="s">
        <v>1181</v>
      </c>
      <c r="D7" s="611">
        <v>2750</v>
      </c>
      <c r="E7" s="605" t="s">
        <v>1369</v>
      </c>
    </row>
    <row r="8" spans="1:5" ht="60">
      <c r="A8" s="606">
        <v>45278</v>
      </c>
      <c r="B8" s="609" t="s">
        <v>1182</v>
      </c>
      <c r="C8" s="608" t="s">
        <v>1181</v>
      </c>
      <c r="D8" s="611">
        <v>2150</v>
      </c>
      <c r="E8" s="605" t="s">
        <v>1370</v>
      </c>
    </row>
    <row r="9" spans="1:5" ht="60">
      <c r="A9" s="606">
        <v>45278</v>
      </c>
      <c r="B9" s="609" t="s">
        <v>1090</v>
      </c>
      <c r="C9" s="608" t="s">
        <v>1181</v>
      </c>
      <c r="D9" s="611">
        <v>1700</v>
      </c>
      <c r="E9" s="605" t="s">
        <v>1371</v>
      </c>
    </row>
    <row r="10" spans="1:5" ht="14.25">
      <c r="A10" s="468"/>
      <c r="B10" s="390" t="s">
        <v>562</v>
      </c>
      <c r="C10" s="610"/>
      <c r="D10" s="391">
        <f>SUM(D6:D9)</f>
        <v>11722.470000000001</v>
      </c>
      <c r="E10" s="605"/>
    </row>
    <row r="12" s="455" customFormat="1" ht="14.25"/>
    <row r="13" s="455" customFormat="1" ht="14.25"/>
    <row r="14" s="455" customFormat="1" ht="14.25"/>
    <row r="15" s="455" customFormat="1" ht="14.25"/>
    <row r="16" s="455" customFormat="1" ht="14.25"/>
    <row r="17" s="455" customFormat="1" ht="14.25"/>
    <row r="19" spans="7:11" s="456" customFormat="1" ht="15">
      <c r="G19" s="53"/>
      <c r="H19" s="53"/>
      <c r="I19" s="53"/>
      <c r="J19" s="53"/>
      <c r="K19" s="53"/>
    </row>
    <row r="20" spans="2:11" s="456" customFormat="1" ht="18.75">
      <c r="B20" s="827" t="s">
        <v>1185</v>
      </c>
      <c r="C20" s="827"/>
      <c r="D20" s="827"/>
      <c r="E20" s="827"/>
      <c r="F20" s="827"/>
      <c r="G20" s="827"/>
      <c r="H20" s="827"/>
      <c r="I20" s="827"/>
      <c r="J20" s="827"/>
      <c r="K20" s="827"/>
    </row>
    <row r="21" spans="7:11" s="456" customFormat="1" ht="14.25">
      <c r="G21" s="53"/>
      <c r="H21" s="53"/>
      <c r="I21" s="53"/>
      <c r="J21" s="53"/>
      <c r="K21" s="53"/>
    </row>
    <row r="22" spans="7:11" s="456" customFormat="1" ht="14.25">
      <c r="G22" s="53"/>
      <c r="H22" s="53"/>
      <c r="I22" s="53"/>
      <c r="J22" s="53"/>
      <c r="K22" s="53"/>
    </row>
    <row r="23" spans="7:11" s="456" customFormat="1" ht="14.25">
      <c r="G23" s="53"/>
      <c r="H23" s="53"/>
      <c r="I23" s="53"/>
      <c r="J23" s="53"/>
      <c r="K23" s="53"/>
    </row>
    <row r="24" spans="7:11" s="456" customFormat="1" ht="14.25">
      <c r="G24" s="53"/>
      <c r="H24" s="53"/>
      <c r="I24" s="53"/>
      <c r="J24" s="53"/>
      <c r="K24" s="53"/>
    </row>
    <row r="25" spans="7:11" s="456" customFormat="1" ht="14.25">
      <c r="G25" s="53"/>
      <c r="H25" s="53"/>
      <c r="I25" s="53"/>
      <c r="J25" s="53"/>
      <c r="K25" s="53"/>
    </row>
    <row r="26" spans="7:11" s="456" customFormat="1" ht="15">
      <c r="G26" s="53"/>
      <c r="H26" s="53"/>
      <c r="I26" s="53"/>
      <c r="J26" s="53"/>
      <c r="K26" s="53"/>
    </row>
    <row r="27" spans="1:11" s="456" customFormat="1" ht="18">
      <c r="A27" s="596" t="s">
        <v>827</v>
      </c>
      <c r="C27" s="828" t="s">
        <v>1092</v>
      </c>
      <c r="D27" s="828"/>
      <c r="E27" s="828"/>
      <c r="F27" s="828"/>
      <c r="G27" s="53"/>
      <c r="H27" s="53"/>
      <c r="I27" s="53"/>
      <c r="J27" s="53"/>
      <c r="K27" s="53"/>
    </row>
    <row r="28" spans="7:11" s="456" customFormat="1" ht="14.25">
      <c r="G28" s="53"/>
      <c r="H28" s="53"/>
      <c r="I28" s="53"/>
      <c r="J28" s="53"/>
      <c r="K28" s="53"/>
    </row>
    <row r="29" spans="7:11" s="456" customFormat="1" ht="14.25">
      <c r="G29" s="53"/>
      <c r="H29" s="53"/>
      <c r="I29" s="53"/>
      <c r="J29" s="53"/>
      <c r="K29" s="53"/>
    </row>
  </sheetData>
  <sheetProtection/>
  <mergeCells count="2">
    <mergeCell ref="B20:K20"/>
    <mergeCell ref="C27:F27"/>
  </mergeCells>
  <printOptions/>
  <pageMargins left="0.7" right="0.7" top="0.75" bottom="0.75" header="0.3" footer="0.3"/>
  <pageSetup horizontalDpi="600" verticalDpi="600" orientation="portrait" scale="63" r:id="rId2"/>
  <drawing r:id="rId1"/>
</worksheet>
</file>

<file path=xl/worksheets/sheet14.xml><?xml version="1.0" encoding="utf-8"?>
<worksheet xmlns="http://schemas.openxmlformats.org/spreadsheetml/2006/main" xmlns:r="http://schemas.openxmlformats.org/officeDocument/2006/relationships">
  <dimension ref="A1:R145"/>
  <sheetViews>
    <sheetView zoomScalePageLayoutView="0" workbookViewId="0" topLeftCell="A127">
      <selection activeCell="A137" sqref="A137:IV145"/>
    </sheetView>
  </sheetViews>
  <sheetFormatPr defaultColWidth="11.421875" defaultRowHeight="15"/>
  <cols>
    <col min="1" max="1" width="11.421875" style="455" customWidth="1"/>
    <col min="2" max="2" width="21.421875" style="455" customWidth="1"/>
    <col min="3" max="3" width="73.7109375" style="455" bestFit="1" customWidth="1"/>
    <col min="4" max="4" width="16.28125" style="455" customWidth="1"/>
    <col min="5" max="15" width="0" style="455" hidden="1" customWidth="1"/>
    <col min="16" max="16" width="0.13671875" style="455" customWidth="1"/>
    <col min="17" max="17" width="14.57421875" style="455" customWidth="1"/>
    <col min="18" max="16384" width="11.421875" style="455" customWidth="1"/>
  </cols>
  <sheetData>
    <row r="1" ht="15">
      <c r="A1" s="388" t="s">
        <v>1239</v>
      </c>
    </row>
    <row r="2" ht="15"/>
    <row r="3" ht="15"/>
    <row r="4" ht="15"/>
    <row r="5" spans="1:17" ht="15">
      <c r="A5" s="390" t="s">
        <v>1175</v>
      </c>
      <c r="B5" s="390" t="s">
        <v>1240</v>
      </c>
      <c r="C5" s="390" t="s">
        <v>1241</v>
      </c>
      <c r="D5" s="390" t="s">
        <v>1242</v>
      </c>
      <c r="E5" s="390"/>
      <c r="F5" s="390"/>
      <c r="G5" s="390"/>
      <c r="H5" s="390"/>
      <c r="I5" s="390"/>
      <c r="J5" s="390"/>
      <c r="K5" s="390"/>
      <c r="L5" s="390"/>
      <c r="M5" s="390"/>
      <c r="N5" s="390"/>
      <c r="O5" s="390"/>
      <c r="P5" s="390"/>
      <c r="Q5" s="325" t="s">
        <v>1243</v>
      </c>
    </row>
    <row r="6" spans="1:17" ht="15">
      <c r="A6" s="760">
        <v>44943</v>
      </c>
      <c r="B6" s="761">
        <v>11750</v>
      </c>
      <c r="C6" s="464" t="s">
        <v>1244</v>
      </c>
      <c r="D6" s="775"/>
      <c r="E6" s="775"/>
      <c r="F6" s="775"/>
      <c r="G6" s="775"/>
      <c r="H6" s="775"/>
      <c r="I6" s="775"/>
      <c r="J6" s="775"/>
      <c r="K6" s="775"/>
      <c r="L6" s="775"/>
      <c r="M6" s="775"/>
      <c r="N6" s="775"/>
      <c r="O6" s="775"/>
      <c r="P6" s="775"/>
      <c r="Q6" s="775">
        <v>897</v>
      </c>
    </row>
    <row r="7" spans="1:17" ht="15">
      <c r="A7" s="464"/>
      <c r="B7" s="464"/>
      <c r="C7" s="762" t="s">
        <v>300</v>
      </c>
      <c r="D7" s="776"/>
      <c r="E7" s="776"/>
      <c r="F7" s="776"/>
      <c r="G7" s="776"/>
      <c r="H7" s="776"/>
      <c r="I7" s="776"/>
      <c r="J7" s="776"/>
      <c r="K7" s="776"/>
      <c r="L7" s="776"/>
      <c r="M7" s="776"/>
      <c r="N7" s="776"/>
      <c r="O7" s="776"/>
      <c r="P7" s="776"/>
      <c r="Q7" s="777">
        <f>SUM(Q6:Q6)</f>
        <v>897</v>
      </c>
    </row>
    <row r="8" spans="4:17" ht="15">
      <c r="D8" s="778"/>
      <c r="E8" s="778"/>
      <c r="F8" s="778"/>
      <c r="G8" s="778"/>
      <c r="H8" s="778"/>
      <c r="I8" s="778"/>
      <c r="J8" s="778"/>
      <c r="K8" s="778"/>
      <c r="L8" s="778"/>
      <c r="M8" s="778"/>
      <c r="N8" s="778"/>
      <c r="O8" s="778"/>
      <c r="P8" s="778"/>
      <c r="Q8" s="778"/>
    </row>
    <row r="9" spans="2:17" ht="15">
      <c r="B9" s="98"/>
      <c r="C9" s="98"/>
      <c r="D9" s="779"/>
      <c r="E9" s="779"/>
      <c r="F9" s="779"/>
      <c r="G9" s="779"/>
      <c r="H9" s="779"/>
      <c r="I9" s="779"/>
      <c r="J9" s="779"/>
      <c r="K9" s="779"/>
      <c r="L9" s="779"/>
      <c r="M9" s="779"/>
      <c r="N9" s="779"/>
      <c r="O9" s="779"/>
      <c r="P9" s="779"/>
      <c r="Q9" s="779"/>
    </row>
    <row r="10" spans="1:17" ht="15">
      <c r="A10" s="468">
        <v>44964</v>
      </c>
      <c r="B10" s="464" t="s">
        <v>1245</v>
      </c>
      <c r="C10" s="464" t="s">
        <v>1246</v>
      </c>
      <c r="D10" s="775"/>
      <c r="E10" s="775"/>
      <c r="F10" s="775"/>
      <c r="G10" s="775"/>
      <c r="H10" s="775"/>
      <c r="I10" s="775"/>
      <c r="J10" s="775"/>
      <c r="K10" s="775"/>
      <c r="L10" s="775"/>
      <c r="M10" s="775"/>
      <c r="N10" s="775"/>
      <c r="O10" s="775"/>
      <c r="P10" s="775"/>
      <c r="Q10" s="775">
        <v>1150</v>
      </c>
    </row>
    <row r="11" spans="1:17" ht="15">
      <c r="A11" s="468">
        <v>44979</v>
      </c>
      <c r="B11" s="464" t="s">
        <v>1247</v>
      </c>
      <c r="C11" s="464" t="s">
        <v>1246</v>
      </c>
      <c r="D11" s="775"/>
      <c r="E11" s="775"/>
      <c r="F11" s="775"/>
      <c r="G11" s="775"/>
      <c r="H11" s="775"/>
      <c r="I11" s="775"/>
      <c r="J11" s="775"/>
      <c r="K11" s="775"/>
      <c r="L11" s="775"/>
      <c r="M11" s="775"/>
      <c r="N11" s="775"/>
      <c r="O11" s="775"/>
      <c r="P11" s="775"/>
      <c r="Q11" s="775">
        <v>1150</v>
      </c>
    </row>
    <row r="12" spans="1:17" ht="15">
      <c r="A12" s="464"/>
      <c r="B12" s="464"/>
      <c r="C12" s="762" t="s">
        <v>300</v>
      </c>
      <c r="D12" s="776"/>
      <c r="E12" s="776"/>
      <c r="F12" s="776"/>
      <c r="G12" s="776"/>
      <c r="H12" s="776"/>
      <c r="I12" s="776"/>
      <c r="J12" s="776"/>
      <c r="K12" s="776"/>
      <c r="L12" s="776"/>
      <c r="M12" s="776"/>
      <c r="N12" s="776"/>
      <c r="O12" s="776"/>
      <c r="P12" s="776"/>
      <c r="Q12" s="777">
        <f>SUM(Q10:Q11)</f>
        <v>2300</v>
      </c>
    </row>
    <row r="13" spans="2:17" ht="15">
      <c r="B13" s="98"/>
      <c r="C13" s="98"/>
      <c r="D13" s="779"/>
      <c r="E13" s="779"/>
      <c r="F13" s="779"/>
      <c r="G13" s="779"/>
      <c r="H13" s="779"/>
      <c r="I13" s="779"/>
      <c r="J13" s="779"/>
      <c r="K13" s="779"/>
      <c r="L13" s="779"/>
      <c r="M13" s="779"/>
      <c r="N13" s="779"/>
      <c r="O13" s="779"/>
      <c r="P13" s="779"/>
      <c r="Q13" s="779"/>
    </row>
    <row r="14" spans="1:17" ht="15">
      <c r="A14" s="468">
        <v>45000</v>
      </c>
      <c r="B14" s="464" t="s">
        <v>1248</v>
      </c>
      <c r="C14" s="464" t="s">
        <v>1249</v>
      </c>
      <c r="D14" s="775"/>
      <c r="E14" s="775"/>
      <c r="F14" s="775"/>
      <c r="G14" s="775"/>
      <c r="H14" s="775"/>
      <c r="I14" s="775"/>
      <c r="J14" s="775"/>
      <c r="K14" s="775"/>
      <c r="L14" s="775"/>
      <c r="M14" s="775"/>
      <c r="N14" s="775"/>
      <c r="O14" s="775"/>
      <c r="P14" s="775"/>
      <c r="Q14" s="775">
        <v>1656</v>
      </c>
    </row>
    <row r="15" spans="1:17" ht="15">
      <c r="A15" s="468">
        <v>45014</v>
      </c>
      <c r="B15" s="464" t="s">
        <v>1250</v>
      </c>
      <c r="C15" s="464" t="s">
        <v>1251</v>
      </c>
      <c r="D15" s="775"/>
      <c r="E15" s="775"/>
      <c r="F15" s="775"/>
      <c r="G15" s="775"/>
      <c r="H15" s="775"/>
      <c r="I15" s="775"/>
      <c r="J15" s="775"/>
      <c r="K15" s="775"/>
      <c r="L15" s="775"/>
      <c r="M15" s="775"/>
      <c r="N15" s="775"/>
      <c r="O15" s="775"/>
      <c r="P15" s="775"/>
      <c r="Q15" s="775">
        <v>897</v>
      </c>
    </row>
    <row r="16" spans="1:17" ht="15">
      <c r="A16" s="468">
        <v>45015</v>
      </c>
      <c r="B16" s="464" t="s">
        <v>1252</v>
      </c>
      <c r="C16" s="464" t="s">
        <v>1253</v>
      </c>
      <c r="D16" s="775"/>
      <c r="E16" s="775"/>
      <c r="F16" s="775"/>
      <c r="G16" s="775"/>
      <c r="H16" s="775"/>
      <c r="I16" s="775"/>
      <c r="J16" s="775"/>
      <c r="K16" s="775"/>
      <c r="L16" s="775"/>
      <c r="M16" s="775"/>
      <c r="N16" s="775"/>
      <c r="O16" s="775"/>
      <c r="P16" s="775"/>
      <c r="Q16" s="775">
        <v>5750</v>
      </c>
    </row>
    <row r="17" spans="1:17" ht="15">
      <c r="A17" s="468">
        <v>45016</v>
      </c>
      <c r="B17" s="464" t="s">
        <v>1254</v>
      </c>
      <c r="C17" s="464" t="s">
        <v>1255</v>
      </c>
      <c r="D17" s="775"/>
      <c r="E17" s="775"/>
      <c r="F17" s="775"/>
      <c r="G17" s="775"/>
      <c r="H17" s="775"/>
      <c r="I17" s="775"/>
      <c r="J17" s="775"/>
      <c r="K17" s="775"/>
      <c r="L17" s="775"/>
      <c r="M17" s="775"/>
      <c r="N17" s="775"/>
      <c r="O17" s="775"/>
      <c r="P17" s="775"/>
      <c r="Q17" s="775">
        <v>575</v>
      </c>
    </row>
    <row r="18" spans="1:17" ht="15">
      <c r="A18" s="468">
        <v>45016</v>
      </c>
      <c r="B18" s="464" t="s">
        <v>1256</v>
      </c>
      <c r="C18" s="464" t="s">
        <v>1255</v>
      </c>
      <c r="D18" s="775"/>
      <c r="E18" s="775"/>
      <c r="F18" s="775"/>
      <c r="G18" s="775"/>
      <c r="H18" s="775"/>
      <c r="I18" s="775"/>
      <c r="J18" s="775"/>
      <c r="K18" s="775"/>
      <c r="L18" s="775"/>
      <c r="M18" s="775"/>
      <c r="N18" s="775"/>
      <c r="O18" s="775"/>
      <c r="P18" s="775"/>
      <c r="Q18" s="775">
        <v>575</v>
      </c>
    </row>
    <row r="19" spans="1:17" ht="15">
      <c r="A19" s="468">
        <v>45016</v>
      </c>
      <c r="B19" s="464" t="s">
        <v>1257</v>
      </c>
      <c r="C19" s="464" t="s">
        <v>1255</v>
      </c>
      <c r="D19" s="775"/>
      <c r="E19" s="775"/>
      <c r="F19" s="775"/>
      <c r="G19" s="775"/>
      <c r="H19" s="775"/>
      <c r="I19" s="775"/>
      <c r="J19" s="775"/>
      <c r="K19" s="775"/>
      <c r="L19" s="775"/>
      <c r="M19" s="775"/>
      <c r="N19" s="775"/>
      <c r="O19" s="775"/>
      <c r="P19" s="775"/>
      <c r="Q19" s="775">
        <v>575</v>
      </c>
    </row>
    <row r="20" spans="1:17" ht="15">
      <c r="A20" s="468">
        <v>45016</v>
      </c>
      <c r="B20" s="464" t="s">
        <v>1258</v>
      </c>
      <c r="C20" s="464" t="s">
        <v>1255</v>
      </c>
      <c r="D20" s="775"/>
      <c r="E20" s="775"/>
      <c r="F20" s="775"/>
      <c r="G20" s="775"/>
      <c r="H20" s="775"/>
      <c r="I20" s="775"/>
      <c r="J20" s="775"/>
      <c r="K20" s="775"/>
      <c r="L20" s="775"/>
      <c r="M20" s="775"/>
      <c r="N20" s="775"/>
      <c r="O20" s="775"/>
      <c r="P20" s="775"/>
      <c r="Q20" s="775">
        <v>575</v>
      </c>
    </row>
    <row r="21" spans="1:17" ht="15">
      <c r="A21" s="468">
        <v>45016</v>
      </c>
      <c r="B21" s="464" t="s">
        <v>1259</v>
      </c>
      <c r="C21" s="464" t="s">
        <v>1255</v>
      </c>
      <c r="D21" s="775"/>
      <c r="E21" s="775"/>
      <c r="F21" s="775"/>
      <c r="G21" s="775"/>
      <c r="H21" s="775"/>
      <c r="I21" s="775"/>
      <c r="J21" s="775"/>
      <c r="K21" s="775"/>
      <c r="L21" s="775"/>
      <c r="M21" s="775"/>
      <c r="N21" s="775"/>
      <c r="O21" s="775"/>
      <c r="P21" s="775"/>
      <c r="Q21" s="775">
        <v>575</v>
      </c>
    </row>
    <row r="22" spans="1:17" ht="15">
      <c r="A22" s="763"/>
      <c r="B22" s="763"/>
      <c r="C22" s="762" t="s">
        <v>300</v>
      </c>
      <c r="D22" s="776"/>
      <c r="E22" s="776"/>
      <c r="F22" s="776"/>
      <c r="G22" s="776"/>
      <c r="H22" s="776"/>
      <c r="I22" s="776"/>
      <c r="J22" s="776"/>
      <c r="K22" s="776"/>
      <c r="L22" s="776"/>
      <c r="M22" s="776"/>
      <c r="N22" s="776"/>
      <c r="O22" s="776"/>
      <c r="P22" s="776"/>
      <c r="Q22" s="777">
        <f>SUM(Q14:Q21)</f>
        <v>11178</v>
      </c>
    </row>
    <row r="23" spans="2:17" ht="15">
      <c r="B23" s="98"/>
      <c r="C23" s="98"/>
      <c r="D23" s="779"/>
      <c r="E23" s="779"/>
      <c r="F23" s="779"/>
      <c r="G23" s="779"/>
      <c r="H23" s="779"/>
      <c r="I23" s="779"/>
      <c r="J23" s="779"/>
      <c r="K23" s="779"/>
      <c r="L23" s="779"/>
      <c r="M23" s="779"/>
      <c r="N23" s="779"/>
      <c r="O23" s="779"/>
      <c r="P23" s="779"/>
      <c r="Q23" s="779"/>
    </row>
    <row r="24" spans="2:17" ht="15">
      <c r="B24" s="98"/>
      <c r="C24" s="98"/>
      <c r="D24" s="779"/>
      <c r="E24" s="779"/>
      <c r="F24" s="779"/>
      <c r="G24" s="779"/>
      <c r="H24" s="779"/>
      <c r="I24" s="779"/>
      <c r="J24" s="779"/>
      <c r="K24" s="779"/>
      <c r="L24" s="779"/>
      <c r="M24" s="779"/>
      <c r="N24" s="779"/>
      <c r="O24" s="779"/>
      <c r="P24" s="779"/>
      <c r="Q24" s="779"/>
    </row>
    <row r="25" spans="1:17" ht="15">
      <c r="A25" s="468">
        <v>45020</v>
      </c>
      <c r="B25" s="464" t="s">
        <v>1260</v>
      </c>
      <c r="C25" s="464" t="s">
        <v>1255</v>
      </c>
      <c r="D25" s="775"/>
      <c r="E25" s="775"/>
      <c r="F25" s="775"/>
      <c r="G25" s="775"/>
      <c r="H25" s="775"/>
      <c r="I25" s="775"/>
      <c r="J25" s="775"/>
      <c r="K25" s="775"/>
      <c r="L25" s="775"/>
      <c r="M25" s="775"/>
      <c r="N25" s="775"/>
      <c r="O25" s="775"/>
      <c r="P25" s="775"/>
      <c r="Q25" s="780">
        <v>575</v>
      </c>
    </row>
    <row r="26" spans="1:17" ht="15">
      <c r="A26" s="468">
        <v>45036</v>
      </c>
      <c r="B26" s="464" t="s">
        <v>1261</v>
      </c>
      <c r="C26" s="464" t="s">
        <v>1262</v>
      </c>
      <c r="D26" s="775"/>
      <c r="E26" s="775"/>
      <c r="F26" s="775"/>
      <c r="G26" s="775"/>
      <c r="H26" s="775"/>
      <c r="I26" s="775"/>
      <c r="J26" s="775"/>
      <c r="K26" s="775"/>
      <c r="L26" s="775"/>
      <c r="M26" s="775"/>
      <c r="N26" s="775"/>
      <c r="O26" s="775"/>
      <c r="P26" s="775"/>
      <c r="Q26" s="780">
        <v>1665</v>
      </c>
    </row>
    <row r="27" spans="1:17" ht="15">
      <c r="A27" s="468">
        <v>45037</v>
      </c>
      <c r="B27" s="464" t="s">
        <v>1263</v>
      </c>
      <c r="C27" s="464" t="s">
        <v>1264</v>
      </c>
      <c r="D27" s="775"/>
      <c r="E27" s="775"/>
      <c r="F27" s="775"/>
      <c r="G27" s="775"/>
      <c r="H27" s="775"/>
      <c r="I27" s="775"/>
      <c r="J27" s="775"/>
      <c r="K27" s="775"/>
      <c r="L27" s="775"/>
      <c r="M27" s="775"/>
      <c r="N27" s="775"/>
      <c r="O27" s="775"/>
      <c r="P27" s="775"/>
      <c r="Q27" s="780">
        <v>4755</v>
      </c>
    </row>
    <row r="28" spans="1:17" ht="15">
      <c r="A28" s="468">
        <v>45044</v>
      </c>
      <c r="B28" s="464" t="s">
        <v>1265</v>
      </c>
      <c r="C28" s="464" t="s">
        <v>1266</v>
      </c>
      <c r="D28" s="775"/>
      <c r="E28" s="775"/>
      <c r="F28" s="775"/>
      <c r="G28" s="775"/>
      <c r="H28" s="775"/>
      <c r="I28" s="775"/>
      <c r="J28" s="775"/>
      <c r="K28" s="775"/>
      <c r="L28" s="775"/>
      <c r="M28" s="775"/>
      <c r="N28" s="775"/>
      <c r="O28" s="775"/>
      <c r="P28" s="775"/>
      <c r="Q28" s="780">
        <v>2420</v>
      </c>
    </row>
    <row r="29" spans="1:17" ht="15">
      <c r="A29" s="763"/>
      <c r="B29" s="763"/>
      <c r="C29" s="762" t="s">
        <v>300</v>
      </c>
      <c r="D29" s="776"/>
      <c r="E29" s="776"/>
      <c r="F29" s="776"/>
      <c r="G29" s="776"/>
      <c r="H29" s="776"/>
      <c r="I29" s="776"/>
      <c r="J29" s="776"/>
      <c r="K29" s="776"/>
      <c r="L29" s="776"/>
      <c r="M29" s="776"/>
      <c r="N29" s="776"/>
      <c r="O29" s="776"/>
      <c r="P29" s="776"/>
      <c r="Q29" s="777">
        <f>SUM(Q25:Q28)</f>
        <v>9415</v>
      </c>
    </row>
    <row r="30" spans="1:17" ht="15">
      <c r="A30" s="8"/>
      <c r="B30" s="8"/>
      <c r="C30" s="765"/>
      <c r="D30" s="781"/>
      <c r="E30" s="781"/>
      <c r="F30" s="781"/>
      <c r="G30" s="781"/>
      <c r="H30" s="781"/>
      <c r="I30" s="781"/>
      <c r="J30" s="781"/>
      <c r="K30" s="781"/>
      <c r="L30" s="781"/>
      <c r="M30" s="781"/>
      <c r="N30" s="781"/>
      <c r="O30" s="781"/>
      <c r="P30" s="781"/>
      <c r="Q30" s="782"/>
    </row>
    <row r="31" spans="1:17" ht="15">
      <c r="A31" s="8"/>
      <c r="B31" s="8"/>
      <c r="C31" s="765"/>
      <c r="D31" s="781"/>
      <c r="E31" s="781"/>
      <c r="F31" s="781"/>
      <c r="G31" s="781"/>
      <c r="H31" s="781"/>
      <c r="I31" s="781"/>
      <c r="J31" s="781"/>
      <c r="K31" s="781"/>
      <c r="L31" s="781"/>
      <c r="M31" s="781"/>
      <c r="N31" s="781"/>
      <c r="O31" s="781"/>
      <c r="P31" s="781"/>
      <c r="Q31" s="782"/>
    </row>
    <row r="32" spans="1:17" ht="15">
      <c r="A32" s="760">
        <v>45049</v>
      </c>
      <c r="B32" s="761" t="s">
        <v>1267</v>
      </c>
      <c r="C32" s="464" t="s">
        <v>1268</v>
      </c>
      <c r="D32" s="775"/>
      <c r="E32" s="775"/>
      <c r="F32" s="775"/>
      <c r="G32" s="775"/>
      <c r="H32" s="775"/>
      <c r="I32" s="775"/>
      <c r="J32" s="775"/>
      <c r="K32" s="775"/>
      <c r="L32" s="775"/>
      <c r="M32" s="775"/>
      <c r="N32" s="775"/>
      <c r="O32" s="775"/>
      <c r="P32" s="775"/>
      <c r="Q32" s="780">
        <v>854</v>
      </c>
    </row>
    <row r="33" spans="1:17" ht="15">
      <c r="A33" s="760">
        <v>45063</v>
      </c>
      <c r="B33" s="761" t="s">
        <v>1269</v>
      </c>
      <c r="C33" s="464" t="s">
        <v>1270</v>
      </c>
      <c r="D33" s="775"/>
      <c r="E33" s="775"/>
      <c r="F33" s="775"/>
      <c r="G33" s="775"/>
      <c r="H33" s="775"/>
      <c r="I33" s="775"/>
      <c r="J33" s="775"/>
      <c r="K33" s="775"/>
      <c r="L33" s="775"/>
      <c r="M33" s="775"/>
      <c r="N33" s="775"/>
      <c r="O33" s="775"/>
      <c r="P33" s="775"/>
      <c r="Q33" s="780">
        <v>2948</v>
      </c>
    </row>
    <row r="34" spans="1:17" ht="15">
      <c r="A34" s="760">
        <v>45064</v>
      </c>
      <c r="B34" s="761" t="s">
        <v>1271</v>
      </c>
      <c r="C34" s="766" t="s">
        <v>1272</v>
      </c>
      <c r="D34" s="775"/>
      <c r="E34" s="775"/>
      <c r="F34" s="775"/>
      <c r="G34" s="775"/>
      <c r="H34" s="775"/>
      <c r="I34" s="775"/>
      <c r="J34" s="775"/>
      <c r="K34" s="775"/>
      <c r="L34" s="775"/>
      <c r="M34" s="775"/>
      <c r="N34" s="775"/>
      <c r="O34" s="775"/>
      <c r="P34" s="775"/>
      <c r="Q34" s="780">
        <v>655</v>
      </c>
    </row>
    <row r="35" spans="1:17" ht="15">
      <c r="A35" s="760">
        <v>45064</v>
      </c>
      <c r="B35" s="761" t="s">
        <v>1273</v>
      </c>
      <c r="C35" s="766" t="s">
        <v>1272</v>
      </c>
      <c r="D35" s="775"/>
      <c r="E35" s="775"/>
      <c r="F35" s="775"/>
      <c r="G35" s="775"/>
      <c r="H35" s="775"/>
      <c r="I35" s="775"/>
      <c r="J35" s="775"/>
      <c r="K35" s="775"/>
      <c r="L35" s="775"/>
      <c r="M35" s="775"/>
      <c r="N35" s="775"/>
      <c r="O35" s="775"/>
      <c r="P35" s="775"/>
      <c r="Q35" s="780">
        <v>655</v>
      </c>
    </row>
    <row r="36" spans="1:17" ht="15">
      <c r="A36" s="760">
        <v>45076</v>
      </c>
      <c r="B36" s="761" t="s">
        <v>1274</v>
      </c>
      <c r="C36" s="766" t="s">
        <v>1275</v>
      </c>
      <c r="D36" s="775"/>
      <c r="E36" s="775"/>
      <c r="F36" s="775"/>
      <c r="G36" s="775"/>
      <c r="H36" s="775"/>
      <c r="I36" s="775"/>
      <c r="J36" s="775"/>
      <c r="K36" s="775"/>
      <c r="L36" s="775"/>
      <c r="M36" s="775"/>
      <c r="N36" s="775"/>
      <c r="O36" s="775"/>
      <c r="P36" s="775"/>
      <c r="Q36" s="780">
        <v>655</v>
      </c>
    </row>
    <row r="37" spans="1:17" ht="15">
      <c r="A37" s="760">
        <v>45076</v>
      </c>
      <c r="B37" s="761" t="s">
        <v>1276</v>
      </c>
      <c r="C37" s="766" t="s">
        <v>1275</v>
      </c>
      <c r="D37" s="775"/>
      <c r="E37" s="775"/>
      <c r="F37" s="775"/>
      <c r="G37" s="775"/>
      <c r="H37" s="775"/>
      <c r="I37" s="775"/>
      <c r="J37" s="775"/>
      <c r="K37" s="775"/>
      <c r="L37" s="775"/>
      <c r="M37" s="775"/>
      <c r="N37" s="775"/>
      <c r="O37" s="775"/>
      <c r="P37" s="775"/>
      <c r="Q37" s="780">
        <v>655</v>
      </c>
    </row>
    <row r="38" spans="1:17" ht="15">
      <c r="A38" s="760">
        <v>45076</v>
      </c>
      <c r="B38" s="761" t="s">
        <v>1277</v>
      </c>
      <c r="C38" s="766" t="s">
        <v>1275</v>
      </c>
      <c r="D38" s="775"/>
      <c r="E38" s="775"/>
      <c r="F38" s="775"/>
      <c r="G38" s="775"/>
      <c r="H38" s="775"/>
      <c r="I38" s="775"/>
      <c r="J38" s="775"/>
      <c r="K38" s="775"/>
      <c r="L38" s="775"/>
      <c r="M38" s="775"/>
      <c r="N38" s="775"/>
      <c r="O38" s="775"/>
      <c r="P38" s="775"/>
      <c r="Q38" s="780">
        <v>655</v>
      </c>
    </row>
    <row r="39" spans="1:17" ht="15">
      <c r="A39" s="760">
        <v>45076</v>
      </c>
      <c r="B39" s="761" t="s">
        <v>1278</v>
      </c>
      <c r="C39" s="766" t="s">
        <v>1275</v>
      </c>
      <c r="D39" s="775"/>
      <c r="E39" s="775"/>
      <c r="F39" s="775"/>
      <c r="G39" s="775"/>
      <c r="H39" s="775"/>
      <c r="I39" s="775"/>
      <c r="J39" s="775"/>
      <c r="K39" s="775"/>
      <c r="L39" s="775"/>
      <c r="M39" s="775"/>
      <c r="N39" s="775"/>
      <c r="O39" s="775"/>
      <c r="P39" s="775"/>
      <c r="Q39" s="780">
        <v>655</v>
      </c>
    </row>
    <row r="40" spans="1:17" ht="15">
      <c r="A40" s="760">
        <v>45077</v>
      </c>
      <c r="B40" s="761" t="s">
        <v>1279</v>
      </c>
      <c r="C40" s="766" t="s">
        <v>1275</v>
      </c>
      <c r="D40" s="775"/>
      <c r="E40" s="775"/>
      <c r="F40" s="775"/>
      <c r="G40" s="775"/>
      <c r="H40" s="775"/>
      <c r="I40" s="775"/>
      <c r="J40" s="775"/>
      <c r="K40" s="775"/>
      <c r="L40" s="775"/>
      <c r="M40" s="775"/>
      <c r="N40" s="775"/>
      <c r="O40" s="775"/>
      <c r="P40" s="775"/>
      <c r="Q40" s="780">
        <v>655</v>
      </c>
    </row>
    <row r="41" spans="1:17" ht="15">
      <c r="A41" s="760">
        <v>45077</v>
      </c>
      <c r="B41" s="761" t="s">
        <v>1280</v>
      </c>
      <c r="C41" s="766" t="s">
        <v>1281</v>
      </c>
      <c r="D41" s="775"/>
      <c r="E41" s="775"/>
      <c r="F41" s="775"/>
      <c r="G41" s="775"/>
      <c r="H41" s="775"/>
      <c r="I41" s="775"/>
      <c r="J41" s="775"/>
      <c r="K41" s="775"/>
      <c r="L41" s="775"/>
      <c r="M41" s="775"/>
      <c r="N41" s="775"/>
      <c r="O41" s="775"/>
      <c r="P41" s="775"/>
      <c r="Q41" s="780">
        <v>655</v>
      </c>
    </row>
    <row r="42" spans="1:17" ht="15">
      <c r="A42" s="464"/>
      <c r="B42" s="464"/>
      <c r="C42" s="762" t="s">
        <v>300</v>
      </c>
      <c r="D42" s="776"/>
      <c r="E42" s="776"/>
      <c r="F42" s="776"/>
      <c r="G42" s="776"/>
      <c r="H42" s="776"/>
      <c r="I42" s="776"/>
      <c r="J42" s="776"/>
      <c r="K42" s="776"/>
      <c r="L42" s="776"/>
      <c r="M42" s="776"/>
      <c r="N42" s="776"/>
      <c r="O42" s="776"/>
      <c r="P42" s="776"/>
      <c r="Q42" s="777">
        <f>SUM(Q32:Q41)</f>
        <v>9042</v>
      </c>
    </row>
    <row r="43" spans="1:17" ht="15">
      <c r="A43" s="8"/>
      <c r="B43" s="8"/>
      <c r="C43" s="765"/>
      <c r="D43" s="781"/>
      <c r="E43" s="781"/>
      <c r="F43" s="781"/>
      <c r="G43" s="781"/>
      <c r="H43" s="781"/>
      <c r="I43" s="781"/>
      <c r="J43" s="781"/>
      <c r="K43" s="781"/>
      <c r="L43" s="781"/>
      <c r="M43" s="781"/>
      <c r="N43" s="781"/>
      <c r="O43" s="781"/>
      <c r="P43" s="781"/>
      <c r="Q43" s="782"/>
    </row>
    <row r="44" spans="1:17" ht="15">
      <c r="A44" s="468">
        <v>45078</v>
      </c>
      <c r="B44" s="464" t="s">
        <v>1282</v>
      </c>
      <c r="C44" s="464" t="s">
        <v>1283</v>
      </c>
      <c r="D44" s="775"/>
      <c r="E44" s="775"/>
      <c r="F44" s="775"/>
      <c r="G44" s="775"/>
      <c r="H44" s="775"/>
      <c r="I44" s="775"/>
      <c r="J44" s="775"/>
      <c r="K44" s="775"/>
      <c r="L44" s="775"/>
      <c r="M44" s="775"/>
      <c r="N44" s="775"/>
      <c r="O44" s="775"/>
      <c r="P44" s="775"/>
      <c r="Q44" s="780">
        <v>655</v>
      </c>
    </row>
    <row r="45" spans="1:17" ht="15">
      <c r="A45" s="468">
        <v>45079</v>
      </c>
      <c r="B45" s="464" t="s">
        <v>1284</v>
      </c>
      <c r="C45" s="464" t="s">
        <v>1283</v>
      </c>
      <c r="D45" s="775"/>
      <c r="E45" s="775"/>
      <c r="F45" s="775"/>
      <c r="G45" s="775"/>
      <c r="H45" s="775"/>
      <c r="I45" s="775"/>
      <c r="J45" s="775"/>
      <c r="K45" s="775"/>
      <c r="L45" s="775"/>
      <c r="M45" s="775"/>
      <c r="N45" s="775"/>
      <c r="O45" s="775"/>
      <c r="P45" s="775"/>
      <c r="Q45" s="780">
        <v>655</v>
      </c>
    </row>
    <row r="46" spans="1:17" ht="15">
      <c r="A46" s="468">
        <v>45079</v>
      </c>
      <c r="B46" s="464" t="s">
        <v>1285</v>
      </c>
      <c r="C46" s="464" t="s">
        <v>1283</v>
      </c>
      <c r="D46" s="775"/>
      <c r="E46" s="775"/>
      <c r="F46" s="775"/>
      <c r="G46" s="775"/>
      <c r="H46" s="775"/>
      <c r="I46" s="775"/>
      <c r="J46" s="775"/>
      <c r="K46" s="775"/>
      <c r="L46" s="775"/>
      <c r="M46" s="775"/>
      <c r="N46" s="775"/>
      <c r="O46" s="775"/>
      <c r="P46" s="775"/>
      <c r="Q46" s="780">
        <v>655</v>
      </c>
    </row>
    <row r="47" spans="1:17" ht="15">
      <c r="A47" s="468">
        <v>45082</v>
      </c>
      <c r="B47" s="464" t="s">
        <v>1286</v>
      </c>
      <c r="C47" s="464" t="s">
        <v>1287</v>
      </c>
      <c r="D47" s="780">
        <v>4755</v>
      </c>
      <c r="E47" s="775"/>
      <c r="F47" s="775"/>
      <c r="G47" s="775"/>
      <c r="H47" s="775"/>
      <c r="I47" s="775"/>
      <c r="J47" s="775"/>
      <c r="K47" s="775"/>
      <c r="L47" s="775"/>
      <c r="M47" s="775"/>
      <c r="N47" s="775"/>
      <c r="O47" s="775"/>
      <c r="P47" s="775"/>
      <c r="Q47" s="780">
        <f>6610-4755</f>
        <v>1855</v>
      </c>
    </row>
    <row r="48" spans="1:17" ht="15">
      <c r="A48" s="468">
        <v>45084</v>
      </c>
      <c r="B48" s="464" t="s">
        <v>1288</v>
      </c>
      <c r="C48" s="464" t="s">
        <v>1289</v>
      </c>
      <c r="D48" s="775"/>
      <c r="E48" s="775"/>
      <c r="F48" s="775"/>
      <c r="G48" s="775"/>
      <c r="H48" s="775"/>
      <c r="I48" s="775"/>
      <c r="J48" s="775"/>
      <c r="K48" s="775"/>
      <c r="L48" s="775"/>
      <c r="M48" s="775"/>
      <c r="N48" s="775"/>
      <c r="O48" s="775"/>
      <c r="P48" s="775"/>
      <c r="Q48" s="780">
        <v>100</v>
      </c>
    </row>
    <row r="49" spans="1:17" ht="15">
      <c r="A49" s="468">
        <v>45097</v>
      </c>
      <c r="B49" s="464" t="s">
        <v>1290</v>
      </c>
      <c r="C49" s="464" t="s">
        <v>1291</v>
      </c>
      <c r="D49" s="775"/>
      <c r="E49" s="775"/>
      <c r="F49" s="775"/>
      <c r="G49" s="775"/>
      <c r="H49" s="775"/>
      <c r="I49" s="775"/>
      <c r="J49" s="775"/>
      <c r="K49" s="775"/>
      <c r="L49" s="775"/>
      <c r="M49" s="775"/>
      <c r="N49" s="775"/>
      <c r="O49" s="775"/>
      <c r="P49" s="775"/>
      <c r="Q49" s="780">
        <v>7785</v>
      </c>
    </row>
    <row r="50" spans="1:17" ht="15">
      <c r="A50" s="468">
        <v>45098</v>
      </c>
      <c r="B50" s="464" t="s">
        <v>1292</v>
      </c>
      <c r="C50" s="464" t="s">
        <v>1293</v>
      </c>
      <c r="D50" s="775"/>
      <c r="E50" s="775"/>
      <c r="F50" s="775"/>
      <c r="G50" s="775"/>
      <c r="H50" s="775"/>
      <c r="I50" s="775"/>
      <c r="J50" s="775"/>
      <c r="K50" s="775"/>
      <c r="L50" s="775"/>
      <c r="M50" s="775"/>
      <c r="N50" s="775"/>
      <c r="O50" s="775"/>
      <c r="P50" s="775"/>
      <c r="Q50" s="780">
        <v>5060</v>
      </c>
    </row>
    <row r="51" spans="1:17" ht="15">
      <c r="A51" s="767">
        <v>45105</v>
      </c>
      <c r="B51" s="469" t="s">
        <v>1294</v>
      </c>
      <c r="C51" s="469" t="s">
        <v>1295</v>
      </c>
      <c r="D51" s="783"/>
      <c r="E51" s="783"/>
      <c r="F51" s="783"/>
      <c r="G51" s="783"/>
      <c r="H51" s="783"/>
      <c r="I51" s="783"/>
      <c r="J51" s="783"/>
      <c r="K51" s="783"/>
      <c r="L51" s="783"/>
      <c r="M51" s="783"/>
      <c r="N51" s="783"/>
      <c r="O51" s="783"/>
      <c r="P51" s="783"/>
      <c r="Q51" s="784">
        <f>197796.5-197797</f>
        <v>-0.5</v>
      </c>
    </row>
    <row r="52" spans="1:17" ht="15">
      <c r="A52" s="468">
        <v>45105</v>
      </c>
      <c r="B52" s="464" t="s">
        <v>1296</v>
      </c>
      <c r="C52" s="464" t="s">
        <v>1297</v>
      </c>
      <c r="D52" s="780">
        <v>1210</v>
      </c>
      <c r="E52" s="775"/>
      <c r="F52" s="775"/>
      <c r="G52" s="775"/>
      <c r="H52" s="775"/>
      <c r="I52" s="775"/>
      <c r="J52" s="775"/>
      <c r="K52" s="775"/>
      <c r="L52" s="775"/>
      <c r="M52" s="775"/>
      <c r="N52" s="775"/>
      <c r="O52" s="775"/>
      <c r="P52" s="775"/>
      <c r="Q52" s="780">
        <f>1750-1210</f>
        <v>540</v>
      </c>
    </row>
    <row r="53" spans="1:17" ht="15">
      <c r="A53" s="468">
        <v>45105</v>
      </c>
      <c r="B53" s="464" t="s">
        <v>1298</v>
      </c>
      <c r="C53" s="464" t="s">
        <v>1299</v>
      </c>
      <c r="D53" s="775"/>
      <c r="E53" s="775"/>
      <c r="F53" s="775"/>
      <c r="G53" s="775"/>
      <c r="H53" s="775"/>
      <c r="I53" s="775"/>
      <c r="J53" s="775"/>
      <c r="K53" s="775"/>
      <c r="L53" s="775"/>
      <c r="M53" s="775"/>
      <c r="N53" s="775"/>
      <c r="O53" s="775"/>
      <c r="P53" s="775"/>
      <c r="Q53" s="780">
        <v>4515</v>
      </c>
    </row>
    <row r="54" spans="1:17" ht="15">
      <c r="A54" s="468">
        <v>45107</v>
      </c>
      <c r="B54" s="464" t="s">
        <v>1300</v>
      </c>
      <c r="C54" s="464" t="s">
        <v>1301</v>
      </c>
      <c r="D54" s="775">
        <v>795</v>
      </c>
      <c r="E54" s="775"/>
      <c r="F54" s="775"/>
      <c r="G54" s="775"/>
      <c r="H54" s="775"/>
      <c r="I54" s="775"/>
      <c r="J54" s="775"/>
      <c r="K54" s="775"/>
      <c r="L54" s="775"/>
      <c r="M54" s="775"/>
      <c r="N54" s="775"/>
      <c r="O54" s="775"/>
      <c r="P54" s="775"/>
      <c r="Q54" s="780">
        <f>875-795</f>
        <v>80</v>
      </c>
    </row>
    <row r="55" spans="1:17" ht="15">
      <c r="A55" s="464"/>
      <c r="B55" s="464"/>
      <c r="C55" s="762" t="s">
        <v>300</v>
      </c>
      <c r="D55" s="776"/>
      <c r="E55" s="776"/>
      <c r="F55" s="776"/>
      <c r="G55" s="776"/>
      <c r="H55" s="776"/>
      <c r="I55" s="776"/>
      <c r="J55" s="776"/>
      <c r="K55" s="776"/>
      <c r="L55" s="776"/>
      <c r="M55" s="776"/>
      <c r="N55" s="776"/>
      <c r="O55" s="776"/>
      <c r="P55" s="776"/>
      <c r="Q55" s="777">
        <f>SUM(Q44:Q54)</f>
        <v>21899.5</v>
      </c>
    </row>
    <row r="56" spans="4:17" ht="15">
      <c r="D56" s="778"/>
      <c r="E56" s="778"/>
      <c r="F56" s="778"/>
      <c r="G56" s="778"/>
      <c r="H56" s="778"/>
      <c r="I56" s="778"/>
      <c r="J56" s="778"/>
      <c r="K56" s="778"/>
      <c r="L56" s="778"/>
      <c r="M56" s="778"/>
      <c r="N56" s="778"/>
      <c r="O56" s="778"/>
      <c r="P56" s="778"/>
      <c r="Q56" s="778"/>
    </row>
    <row r="57" spans="1:17" ht="15">
      <c r="A57" s="8"/>
      <c r="B57" s="8"/>
      <c r="C57" s="765"/>
      <c r="D57" s="781"/>
      <c r="E57" s="781"/>
      <c r="F57" s="781"/>
      <c r="G57" s="781"/>
      <c r="H57" s="781"/>
      <c r="I57" s="781"/>
      <c r="J57" s="781"/>
      <c r="K57" s="781"/>
      <c r="L57" s="781"/>
      <c r="M57" s="781"/>
      <c r="N57" s="781"/>
      <c r="O57" s="781"/>
      <c r="P57" s="781"/>
      <c r="Q57" s="782"/>
    </row>
    <row r="58" spans="2:17" ht="15">
      <c r="B58" s="98"/>
      <c r="C58" s="98"/>
      <c r="D58" s="779"/>
      <c r="E58" s="779"/>
      <c r="F58" s="779"/>
      <c r="G58" s="779"/>
      <c r="H58" s="779"/>
      <c r="I58" s="779"/>
      <c r="J58" s="779"/>
      <c r="K58" s="779"/>
      <c r="L58" s="779"/>
      <c r="M58" s="779"/>
      <c r="N58" s="779"/>
      <c r="O58" s="779"/>
      <c r="P58" s="779"/>
      <c r="Q58" s="779"/>
    </row>
    <row r="59" spans="1:17" ht="15">
      <c r="A59" s="768">
        <v>45119</v>
      </c>
      <c r="B59" s="769">
        <v>11827</v>
      </c>
      <c r="C59" s="770" t="s">
        <v>1270</v>
      </c>
      <c r="D59" s="775"/>
      <c r="E59" s="775"/>
      <c r="F59" s="775"/>
      <c r="G59" s="775"/>
      <c r="H59" s="775"/>
      <c r="I59" s="775"/>
      <c r="J59" s="775"/>
      <c r="K59" s="775"/>
      <c r="L59" s="775"/>
      <c r="M59" s="775"/>
      <c r="N59" s="775"/>
      <c r="O59" s="775"/>
      <c r="P59" s="775"/>
      <c r="Q59" s="780">
        <v>2903</v>
      </c>
    </row>
    <row r="60" spans="1:17" ht="15">
      <c r="A60" s="768">
        <v>45125</v>
      </c>
      <c r="B60" s="769">
        <v>11829</v>
      </c>
      <c r="C60" s="464" t="s">
        <v>1302</v>
      </c>
      <c r="D60" s="775"/>
      <c r="E60" s="775"/>
      <c r="F60" s="775"/>
      <c r="G60" s="775"/>
      <c r="H60" s="775"/>
      <c r="I60" s="775"/>
      <c r="J60" s="775"/>
      <c r="K60" s="775"/>
      <c r="L60" s="775"/>
      <c r="M60" s="775"/>
      <c r="N60" s="775"/>
      <c r="O60" s="775"/>
      <c r="P60" s="775"/>
      <c r="Q60" s="780">
        <v>4515</v>
      </c>
    </row>
    <row r="61" spans="1:17" ht="15">
      <c r="A61" s="760">
        <v>45127</v>
      </c>
      <c r="B61" s="769">
        <v>11834</v>
      </c>
      <c r="C61" s="464" t="s">
        <v>1303</v>
      </c>
      <c r="D61" s="775"/>
      <c r="E61" s="775"/>
      <c r="F61" s="775"/>
      <c r="G61" s="775"/>
      <c r="H61" s="775"/>
      <c r="I61" s="775"/>
      <c r="J61" s="775"/>
      <c r="K61" s="775"/>
      <c r="L61" s="775"/>
      <c r="M61" s="775"/>
      <c r="N61" s="775"/>
      <c r="O61" s="775"/>
      <c r="P61" s="775"/>
      <c r="Q61" s="780">
        <v>4515</v>
      </c>
    </row>
    <row r="62" spans="1:17" ht="15">
      <c r="A62" s="760">
        <v>45127</v>
      </c>
      <c r="B62" s="769">
        <v>11835</v>
      </c>
      <c r="C62" s="464" t="s">
        <v>1304</v>
      </c>
      <c r="D62" s="775"/>
      <c r="E62" s="775"/>
      <c r="F62" s="775"/>
      <c r="G62" s="775"/>
      <c r="H62" s="775"/>
      <c r="I62" s="775"/>
      <c r="J62" s="775"/>
      <c r="K62" s="775"/>
      <c r="L62" s="775"/>
      <c r="M62" s="775"/>
      <c r="N62" s="775"/>
      <c r="O62" s="775"/>
      <c r="P62" s="775"/>
      <c r="Q62" s="780">
        <v>4515</v>
      </c>
    </row>
    <row r="63" spans="1:17" ht="15">
      <c r="A63" s="760">
        <v>45127</v>
      </c>
      <c r="B63" s="769">
        <v>11836</v>
      </c>
      <c r="C63" s="770" t="s">
        <v>1305</v>
      </c>
      <c r="D63" s="775"/>
      <c r="E63" s="775"/>
      <c r="F63" s="775"/>
      <c r="G63" s="775"/>
      <c r="H63" s="775"/>
      <c r="I63" s="775"/>
      <c r="J63" s="775"/>
      <c r="K63" s="775"/>
      <c r="L63" s="775"/>
      <c r="M63" s="775"/>
      <c r="N63" s="775"/>
      <c r="O63" s="775"/>
      <c r="P63" s="775"/>
      <c r="Q63" s="780">
        <v>2875</v>
      </c>
    </row>
    <row r="64" spans="1:17" ht="15">
      <c r="A64" s="760">
        <v>45127</v>
      </c>
      <c r="B64" s="761">
        <v>11837</v>
      </c>
      <c r="C64" s="770" t="s">
        <v>1306</v>
      </c>
      <c r="D64" s="775"/>
      <c r="E64" s="775"/>
      <c r="F64" s="775"/>
      <c r="G64" s="775"/>
      <c r="H64" s="775"/>
      <c r="I64" s="775"/>
      <c r="J64" s="775"/>
      <c r="K64" s="775"/>
      <c r="L64" s="775"/>
      <c r="M64" s="775"/>
      <c r="N64" s="775"/>
      <c r="O64" s="775"/>
      <c r="P64" s="775"/>
      <c r="Q64" s="780">
        <v>4085</v>
      </c>
    </row>
    <row r="65" spans="1:17" ht="15">
      <c r="A65" s="760">
        <v>45127</v>
      </c>
      <c r="B65" s="761">
        <v>11838</v>
      </c>
      <c r="C65" s="770" t="s">
        <v>1307</v>
      </c>
      <c r="D65" s="775"/>
      <c r="E65" s="775"/>
      <c r="F65" s="775"/>
      <c r="G65" s="775"/>
      <c r="H65" s="775"/>
      <c r="I65" s="775"/>
      <c r="J65" s="775"/>
      <c r="K65" s="775"/>
      <c r="L65" s="775"/>
      <c r="M65" s="775"/>
      <c r="N65" s="775"/>
      <c r="O65" s="775"/>
      <c r="P65" s="775"/>
      <c r="Q65" s="780">
        <v>2875</v>
      </c>
    </row>
    <row r="66" spans="1:17" ht="15">
      <c r="A66" s="760">
        <v>45128</v>
      </c>
      <c r="B66" s="761">
        <v>11840</v>
      </c>
      <c r="C66" s="770" t="s">
        <v>1308</v>
      </c>
      <c r="D66" s="775"/>
      <c r="E66" s="775"/>
      <c r="F66" s="775"/>
      <c r="G66" s="775"/>
      <c r="H66" s="775"/>
      <c r="I66" s="775"/>
      <c r="J66" s="775"/>
      <c r="K66" s="775"/>
      <c r="L66" s="775"/>
      <c r="M66" s="775"/>
      <c r="N66" s="775"/>
      <c r="O66" s="775"/>
      <c r="P66" s="775"/>
      <c r="Q66" s="780">
        <v>6893</v>
      </c>
    </row>
    <row r="67" spans="1:17" ht="15">
      <c r="A67" s="760">
        <v>45128</v>
      </c>
      <c r="B67" s="761">
        <v>11842</v>
      </c>
      <c r="C67" s="770" t="s">
        <v>1309</v>
      </c>
      <c r="D67" s="780">
        <f>3995+1060+1060</f>
        <v>6115</v>
      </c>
      <c r="E67" s="775"/>
      <c r="F67" s="775"/>
      <c r="G67" s="775"/>
      <c r="H67" s="775"/>
      <c r="I67" s="775"/>
      <c r="J67" s="775"/>
      <c r="K67" s="775"/>
      <c r="L67" s="775"/>
      <c r="M67" s="775"/>
      <c r="N67" s="775"/>
      <c r="O67" s="775"/>
      <c r="P67" s="775"/>
      <c r="Q67" s="780">
        <f>8170-3995-1060-1060</f>
        <v>2055</v>
      </c>
    </row>
    <row r="68" spans="1:17" ht="15">
      <c r="A68" s="390"/>
      <c r="B68" s="390"/>
      <c r="C68" s="390" t="s">
        <v>300</v>
      </c>
      <c r="D68" s="785"/>
      <c r="E68" s="785"/>
      <c r="F68" s="785"/>
      <c r="G68" s="785"/>
      <c r="H68" s="785"/>
      <c r="I68" s="785"/>
      <c r="J68" s="785"/>
      <c r="K68" s="785"/>
      <c r="L68" s="785"/>
      <c r="M68" s="785"/>
      <c r="N68" s="785"/>
      <c r="O68" s="785"/>
      <c r="P68" s="785"/>
      <c r="Q68" s="777">
        <f>SUM(Q59:Q67)</f>
        <v>35231</v>
      </c>
    </row>
    <row r="69" spans="4:17" ht="15">
      <c r="D69" s="778"/>
      <c r="E69" s="778"/>
      <c r="F69" s="778"/>
      <c r="G69" s="778"/>
      <c r="H69" s="778"/>
      <c r="I69" s="778"/>
      <c r="J69" s="778"/>
      <c r="K69" s="778"/>
      <c r="L69" s="778"/>
      <c r="M69" s="778"/>
      <c r="N69" s="778"/>
      <c r="O69" s="778"/>
      <c r="P69" s="778"/>
      <c r="Q69" s="778"/>
    </row>
    <row r="70" spans="4:17" ht="15">
      <c r="D70" s="778"/>
      <c r="E70" s="778"/>
      <c r="F70" s="778"/>
      <c r="G70" s="778"/>
      <c r="H70" s="778"/>
      <c r="I70" s="778"/>
      <c r="J70" s="778"/>
      <c r="K70" s="778"/>
      <c r="L70" s="778"/>
      <c r="M70" s="778"/>
      <c r="N70" s="778"/>
      <c r="O70" s="778"/>
      <c r="P70" s="778"/>
      <c r="Q70" s="778"/>
    </row>
    <row r="71" spans="2:17" ht="15">
      <c r="B71" s="98"/>
      <c r="C71" s="98"/>
      <c r="D71" s="779"/>
      <c r="E71" s="779"/>
      <c r="F71" s="779"/>
      <c r="G71" s="779"/>
      <c r="H71" s="779"/>
      <c r="I71" s="779"/>
      <c r="J71" s="779"/>
      <c r="K71" s="779"/>
      <c r="L71" s="779"/>
      <c r="M71" s="779"/>
      <c r="N71" s="779"/>
      <c r="O71" s="779"/>
      <c r="P71" s="779"/>
      <c r="Q71" s="779"/>
    </row>
    <row r="72" spans="2:17" ht="15">
      <c r="B72" s="98"/>
      <c r="C72" s="98"/>
      <c r="D72" s="779"/>
      <c r="E72" s="779"/>
      <c r="F72" s="779"/>
      <c r="G72" s="779"/>
      <c r="H72" s="779"/>
      <c r="I72" s="779"/>
      <c r="J72" s="779"/>
      <c r="K72" s="779"/>
      <c r="L72" s="779"/>
      <c r="M72" s="779"/>
      <c r="N72" s="779"/>
      <c r="O72" s="779"/>
      <c r="P72" s="779"/>
      <c r="Q72" s="779"/>
    </row>
    <row r="73" spans="2:17" ht="15">
      <c r="B73" s="98"/>
      <c r="C73" s="98"/>
      <c r="D73" s="779"/>
      <c r="E73" s="779"/>
      <c r="F73" s="779"/>
      <c r="G73" s="779"/>
      <c r="H73" s="779"/>
      <c r="I73" s="779"/>
      <c r="J73" s="779"/>
      <c r="K73" s="779"/>
      <c r="L73" s="779"/>
      <c r="M73" s="779"/>
      <c r="N73" s="779"/>
      <c r="O73" s="779"/>
      <c r="P73" s="779"/>
      <c r="Q73" s="779"/>
    </row>
    <row r="74" spans="1:17" ht="15">
      <c r="A74" s="768">
        <v>45139</v>
      </c>
      <c r="B74" s="769">
        <v>11843</v>
      </c>
      <c r="C74" s="770" t="s">
        <v>1310</v>
      </c>
      <c r="D74" s="775"/>
      <c r="E74" s="775"/>
      <c r="F74" s="775"/>
      <c r="G74" s="775"/>
      <c r="H74" s="775"/>
      <c r="I74" s="775"/>
      <c r="J74" s="775"/>
      <c r="K74" s="775"/>
      <c r="L74" s="775"/>
      <c r="M74" s="775"/>
      <c r="N74" s="775"/>
      <c r="O74" s="775"/>
      <c r="P74" s="775"/>
      <c r="Q74" s="780">
        <v>1288</v>
      </c>
    </row>
    <row r="75" spans="1:17" ht="15">
      <c r="A75" s="768">
        <v>45139</v>
      </c>
      <c r="B75" s="769">
        <v>11844</v>
      </c>
      <c r="C75" s="770" t="s">
        <v>1311</v>
      </c>
      <c r="D75" s="775"/>
      <c r="E75" s="775"/>
      <c r="F75" s="775"/>
      <c r="G75" s="775"/>
      <c r="H75" s="775"/>
      <c r="I75" s="775"/>
      <c r="J75" s="775"/>
      <c r="K75" s="775"/>
      <c r="L75" s="775"/>
      <c r="M75" s="775"/>
      <c r="N75" s="775"/>
      <c r="O75" s="775"/>
      <c r="P75" s="775"/>
      <c r="Q75" s="780">
        <v>4085</v>
      </c>
    </row>
    <row r="76" spans="1:17" ht="15">
      <c r="A76" s="768">
        <v>45139</v>
      </c>
      <c r="B76" s="769">
        <v>11845</v>
      </c>
      <c r="C76" s="770" t="s">
        <v>1312</v>
      </c>
      <c r="D76" s="780">
        <v>4755</v>
      </c>
      <c r="E76" s="775"/>
      <c r="F76" s="775"/>
      <c r="G76" s="775"/>
      <c r="H76" s="775"/>
      <c r="I76" s="775"/>
      <c r="J76" s="775"/>
      <c r="K76" s="775"/>
      <c r="L76" s="775"/>
      <c r="M76" s="775"/>
      <c r="N76" s="775"/>
      <c r="O76" s="775"/>
      <c r="P76" s="775"/>
      <c r="Q76" s="780">
        <f>82684-4755</f>
        <v>77929</v>
      </c>
    </row>
    <row r="77" spans="1:17" ht="15">
      <c r="A77" s="768">
        <v>45155</v>
      </c>
      <c r="B77" s="769">
        <v>11849</v>
      </c>
      <c r="C77" s="770" t="s">
        <v>1313</v>
      </c>
      <c r="D77" s="775"/>
      <c r="E77" s="775"/>
      <c r="F77" s="775"/>
      <c r="G77" s="775"/>
      <c r="H77" s="775"/>
      <c r="I77" s="775"/>
      <c r="J77" s="775"/>
      <c r="K77" s="775"/>
      <c r="L77" s="775"/>
      <c r="M77" s="775"/>
      <c r="N77" s="775"/>
      <c r="O77" s="775"/>
      <c r="P77" s="775"/>
      <c r="Q77" s="780">
        <v>634.5</v>
      </c>
    </row>
    <row r="78" spans="1:17" ht="15">
      <c r="A78" s="771">
        <v>45155</v>
      </c>
      <c r="B78" s="772">
        <v>11850</v>
      </c>
      <c r="C78" s="469" t="s">
        <v>1314</v>
      </c>
      <c r="D78" s="786">
        <v>4755</v>
      </c>
      <c r="E78" s="783"/>
      <c r="F78" s="783"/>
      <c r="G78" s="783"/>
      <c r="H78" s="783"/>
      <c r="I78" s="783"/>
      <c r="J78" s="783"/>
      <c r="K78" s="783"/>
      <c r="L78" s="783"/>
      <c r="M78" s="783"/>
      <c r="N78" s="783"/>
      <c r="O78" s="783"/>
      <c r="P78" s="783"/>
      <c r="Q78" s="784">
        <f>5605-4755</f>
        <v>850</v>
      </c>
    </row>
    <row r="79" spans="1:17" ht="15">
      <c r="A79" s="768">
        <v>45155</v>
      </c>
      <c r="B79" s="769">
        <v>11851</v>
      </c>
      <c r="C79" s="770" t="s">
        <v>1315</v>
      </c>
      <c r="D79" s="775"/>
      <c r="E79" s="775"/>
      <c r="F79" s="775"/>
      <c r="G79" s="775"/>
      <c r="H79" s="775"/>
      <c r="I79" s="775"/>
      <c r="J79" s="775"/>
      <c r="K79" s="775"/>
      <c r="L79" s="775"/>
      <c r="M79" s="775"/>
      <c r="N79" s="775"/>
      <c r="O79" s="775"/>
      <c r="P79" s="775"/>
      <c r="Q79" s="780">
        <v>1355</v>
      </c>
    </row>
    <row r="80" spans="1:17" ht="15">
      <c r="A80" s="768">
        <v>45155</v>
      </c>
      <c r="B80" s="769">
        <v>11852</v>
      </c>
      <c r="C80" s="464" t="s">
        <v>1316</v>
      </c>
      <c r="D80" s="775"/>
      <c r="E80" s="775"/>
      <c r="F80" s="775"/>
      <c r="G80" s="775"/>
      <c r="H80" s="775"/>
      <c r="I80" s="775"/>
      <c r="J80" s="775"/>
      <c r="K80" s="775"/>
      <c r="L80" s="775"/>
      <c r="M80" s="775"/>
      <c r="N80" s="775"/>
      <c r="O80" s="775"/>
      <c r="P80" s="775"/>
      <c r="Q80" s="780">
        <v>156</v>
      </c>
    </row>
    <row r="81" spans="1:17" ht="15">
      <c r="A81" s="760">
        <v>45162</v>
      </c>
      <c r="B81" s="769">
        <v>11854</v>
      </c>
      <c r="C81" s="770" t="s">
        <v>1317</v>
      </c>
      <c r="D81" s="775"/>
      <c r="E81" s="775"/>
      <c r="F81" s="775"/>
      <c r="G81" s="775"/>
      <c r="H81" s="775"/>
      <c r="I81" s="775"/>
      <c r="J81" s="775"/>
      <c r="K81" s="775"/>
      <c r="L81" s="775"/>
      <c r="M81" s="775"/>
      <c r="N81" s="775"/>
      <c r="O81" s="775"/>
      <c r="P81" s="775"/>
      <c r="Q81" s="780">
        <v>5579</v>
      </c>
    </row>
    <row r="82" spans="1:17" ht="15">
      <c r="A82" s="760">
        <v>45163</v>
      </c>
      <c r="B82" s="761">
        <v>11855</v>
      </c>
      <c r="C82" s="770" t="s">
        <v>1318</v>
      </c>
      <c r="D82" s="775"/>
      <c r="E82" s="775"/>
      <c r="F82" s="775"/>
      <c r="G82" s="775"/>
      <c r="H82" s="775"/>
      <c r="I82" s="775"/>
      <c r="J82" s="775"/>
      <c r="K82" s="775"/>
      <c r="L82" s="775"/>
      <c r="M82" s="775"/>
      <c r="N82" s="775"/>
      <c r="O82" s="775"/>
      <c r="P82" s="775"/>
      <c r="Q82" s="780">
        <v>3970</v>
      </c>
    </row>
    <row r="83" spans="1:17" ht="15">
      <c r="A83" s="464"/>
      <c r="B83" s="464"/>
      <c r="C83" s="390" t="s">
        <v>300</v>
      </c>
      <c r="D83" s="785"/>
      <c r="E83" s="785"/>
      <c r="F83" s="785"/>
      <c r="G83" s="785"/>
      <c r="H83" s="785"/>
      <c r="I83" s="785"/>
      <c r="J83" s="785"/>
      <c r="K83" s="785"/>
      <c r="L83" s="785"/>
      <c r="M83" s="785"/>
      <c r="N83" s="785"/>
      <c r="O83" s="785"/>
      <c r="P83" s="785"/>
      <c r="Q83" s="777">
        <f>SUM(Q74:Q82)</f>
        <v>95846.5</v>
      </c>
    </row>
    <row r="84" spans="2:17" ht="15">
      <c r="B84" s="98"/>
      <c r="C84" s="98"/>
      <c r="D84" s="779"/>
      <c r="E84" s="779"/>
      <c r="F84" s="779"/>
      <c r="G84" s="779"/>
      <c r="H84" s="779"/>
      <c r="I84" s="779"/>
      <c r="J84" s="779"/>
      <c r="K84" s="779"/>
      <c r="L84" s="779"/>
      <c r="M84" s="779"/>
      <c r="N84" s="779"/>
      <c r="O84" s="779"/>
      <c r="P84" s="779"/>
      <c r="Q84" s="779"/>
    </row>
    <row r="85" spans="2:17" ht="15">
      <c r="B85" s="98"/>
      <c r="C85" s="98"/>
      <c r="D85" s="779"/>
      <c r="E85" s="779"/>
      <c r="F85" s="779"/>
      <c r="G85" s="779"/>
      <c r="H85" s="779"/>
      <c r="I85" s="779"/>
      <c r="J85" s="779"/>
      <c r="K85" s="779"/>
      <c r="L85" s="779"/>
      <c r="M85" s="779"/>
      <c r="N85" s="779"/>
      <c r="O85" s="779"/>
      <c r="P85" s="779"/>
      <c r="Q85" s="779"/>
    </row>
    <row r="86" spans="1:17" ht="15">
      <c r="A86" s="768">
        <v>45170</v>
      </c>
      <c r="B86" s="769">
        <v>11858</v>
      </c>
      <c r="C86" s="770" t="s">
        <v>1319</v>
      </c>
      <c r="D86" s="775"/>
      <c r="E86" s="775"/>
      <c r="F86" s="775"/>
      <c r="G86" s="775"/>
      <c r="H86" s="775"/>
      <c r="I86" s="775"/>
      <c r="J86" s="775"/>
      <c r="K86" s="775"/>
      <c r="L86" s="775"/>
      <c r="M86" s="775"/>
      <c r="N86" s="775"/>
      <c r="O86" s="775"/>
      <c r="P86" s="775"/>
      <c r="Q86" s="786">
        <v>1210</v>
      </c>
    </row>
    <row r="87" spans="1:17" ht="15">
      <c r="A87" s="768">
        <v>45170</v>
      </c>
      <c r="B87" s="769">
        <v>11859</v>
      </c>
      <c r="C87" s="770" t="s">
        <v>1320</v>
      </c>
      <c r="D87" s="775"/>
      <c r="E87" s="775"/>
      <c r="F87" s="775"/>
      <c r="G87" s="775"/>
      <c r="H87" s="775"/>
      <c r="I87" s="775"/>
      <c r="J87" s="775"/>
      <c r="K87" s="775"/>
      <c r="L87" s="775"/>
      <c r="M87" s="775"/>
      <c r="N87" s="775"/>
      <c r="O87" s="775"/>
      <c r="P87" s="775"/>
      <c r="Q87" s="786">
        <v>4755</v>
      </c>
    </row>
    <row r="88" spans="1:17" ht="15">
      <c r="A88" s="768">
        <v>45170</v>
      </c>
      <c r="B88" s="769">
        <v>11860</v>
      </c>
      <c r="C88" s="770" t="s">
        <v>1321</v>
      </c>
      <c r="D88" s="775"/>
      <c r="E88" s="775"/>
      <c r="F88" s="775"/>
      <c r="G88" s="775"/>
      <c r="H88" s="775"/>
      <c r="I88" s="775"/>
      <c r="J88" s="775"/>
      <c r="K88" s="775"/>
      <c r="L88" s="775"/>
      <c r="M88" s="775"/>
      <c r="N88" s="775"/>
      <c r="O88" s="775"/>
      <c r="P88" s="775"/>
      <c r="Q88" s="786">
        <v>6150</v>
      </c>
    </row>
    <row r="89" spans="1:17" ht="15">
      <c r="A89" s="768">
        <v>45181</v>
      </c>
      <c r="B89" s="769">
        <v>11865</v>
      </c>
      <c r="C89" s="770" t="s">
        <v>1322</v>
      </c>
      <c r="D89" s="775"/>
      <c r="E89" s="775"/>
      <c r="F89" s="775"/>
      <c r="G89" s="775"/>
      <c r="H89" s="775"/>
      <c r="I89" s="775"/>
      <c r="J89" s="775"/>
      <c r="K89" s="775"/>
      <c r="L89" s="775"/>
      <c r="M89" s="775"/>
      <c r="N89" s="775"/>
      <c r="O89" s="775"/>
      <c r="P89" s="775"/>
      <c r="Q89" s="780">
        <v>5445</v>
      </c>
    </row>
    <row r="90" spans="1:17" ht="15">
      <c r="A90" s="760">
        <v>45189</v>
      </c>
      <c r="B90" s="769">
        <v>11868</v>
      </c>
      <c r="C90" s="770" t="s">
        <v>1323</v>
      </c>
      <c r="D90" s="775"/>
      <c r="E90" s="775"/>
      <c r="F90" s="775"/>
      <c r="G90" s="775"/>
      <c r="H90" s="775"/>
      <c r="I90" s="775"/>
      <c r="J90" s="775"/>
      <c r="K90" s="775"/>
      <c r="L90" s="775"/>
      <c r="M90" s="775"/>
      <c r="N90" s="775"/>
      <c r="O90" s="775"/>
      <c r="P90" s="775"/>
      <c r="Q90" s="780">
        <v>1210</v>
      </c>
    </row>
    <row r="91" spans="1:17" ht="15">
      <c r="A91" s="464"/>
      <c r="B91" s="464"/>
      <c r="C91" s="600" t="s">
        <v>562</v>
      </c>
      <c r="D91" s="775"/>
      <c r="E91" s="775"/>
      <c r="F91" s="775"/>
      <c r="G91" s="775"/>
      <c r="H91" s="775"/>
      <c r="I91" s="775"/>
      <c r="J91" s="775"/>
      <c r="K91" s="775"/>
      <c r="L91" s="775"/>
      <c r="M91" s="775"/>
      <c r="N91" s="775"/>
      <c r="O91" s="775"/>
      <c r="P91" s="775"/>
      <c r="Q91" s="785">
        <f>SUM(Q86:Q90)</f>
        <v>18770</v>
      </c>
    </row>
    <row r="92" spans="4:17" ht="15">
      <c r="D92" s="778"/>
      <c r="E92" s="778"/>
      <c r="F92" s="778"/>
      <c r="G92" s="778"/>
      <c r="H92" s="778"/>
      <c r="I92" s="778"/>
      <c r="J92" s="778"/>
      <c r="K92" s="778"/>
      <c r="L92" s="778"/>
      <c r="M92" s="778"/>
      <c r="N92" s="778"/>
      <c r="O92" s="778"/>
      <c r="P92" s="778"/>
      <c r="Q92" s="778"/>
    </row>
    <row r="93" spans="2:17" ht="15">
      <c r="B93" s="98"/>
      <c r="C93" s="98"/>
      <c r="D93" s="779"/>
      <c r="E93" s="779"/>
      <c r="F93" s="779"/>
      <c r="G93" s="779"/>
      <c r="H93" s="779"/>
      <c r="I93" s="779"/>
      <c r="J93" s="779"/>
      <c r="K93" s="779"/>
      <c r="L93" s="779"/>
      <c r="M93" s="779"/>
      <c r="N93" s="779"/>
      <c r="O93" s="779"/>
      <c r="P93" s="779"/>
      <c r="Q93" s="779"/>
    </row>
    <row r="94" spans="1:17" ht="15">
      <c r="A94" s="768">
        <v>45209</v>
      </c>
      <c r="B94" s="769">
        <v>11877</v>
      </c>
      <c r="C94" s="770" t="s">
        <v>1324</v>
      </c>
      <c r="D94" s="775"/>
      <c r="E94" s="775"/>
      <c r="F94" s="775"/>
      <c r="G94" s="775"/>
      <c r="H94" s="775"/>
      <c r="I94" s="775"/>
      <c r="J94" s="775"/>
      <c r="K94" s="775"/>
      <c r="L94" s="775"/>
      <c r="M94" s="775"/>
      <c r="N94" s="775"/>
      <c r="O94" s="775"/>
      <c r="P94" s="775"/>
      <c r="Q94" s="786">
        <v>665</v>
      </c>
    </row>
    <row r="95" spans="1:17" ht="15">
      <c r="A95" s="768">
        <v>45211</v>
      </c>
      <c r="B95" s="769">
        <v>11879</v>
      </c>
      <c r="C95" s="464" t="s">
        <v>1325</v>
      </c>
      <c r="D95" s="780">
        <f>4515+23775+4755</f>
        <v>33045</v>
      </c>
      <c r="E95" s="775"/>
      <c r="F95" s="775"/>
      <c r="G95" s="775"/>
      <c r="H95" s="775"/>
      <c r="I95" s="775"/>
      <c r="J95" s="775"/>
      <c r="K95" s="775"/>
      <c r="L95" s="775"/>
      <c r="M95" s="775"/>
      <c r="N95" s="775"/>
      <c r="O95" s="775"/>
      <c r="P95" s="775"/>
      <c r="Q95" s="780">
        <f>59895-4515-23775-4755</f>
        <v>26850</v>
      </c>
    </row>
    <row r="96" spans="1:17" ht="15">
      <c r="A96" s="768">
        <v>45212</v>
      </c>
      <c r="B96" s="769">
        <v>11880</v>
      </c>
      <c r="C96" s="464" t="s">
        <v>1326</v>
      </c>
      <c r="D96" s="775"/>
      <c r="E96" s="775"/>
      <c r="F96" s="775"/>
      <c r="G96" s="775"/>
      <c r="H96" s="775"/>
      <c r="I96" s="775"/>
      <c r="J96" s="775"/>
      <c r="K96" s="775"/>
      <c r="L96" s="775"/>
      <c r="M96" s="775"/>
      <c r="N96" s="775"/>
      <c r="O96" s="775"/>
      <c r="P96" s="775"/>
      <c r="Q96" s="780">
        <v>4025</v>
      </c>
    </row>
    <row r="97" spans="1:18" ht="15">
      <c r="A97" s="771">
        <v>45216</v>
      </c>
      <c r="B97" s="772">
        <v>11882</v>
      </c>
      <c r="C97" s="469" t="s">
        <v>1327</v>
      </c>
      <c r="D97" s="780">
        <v>1200</v>
      </c>
      <c r="E97" s="783"/>
      <c r="F97" s="783"/>
      <c r="G97" s="783"/>
      <c r="H97" s="783"/>
      <c r="I97" s="783"/>
      <c r="J97" s="783"/>
      <c r="K97" s="783"/>
      <c r="L97" s="783"/>
      <c r="M97" s="783"/>
      <c r="N97" s="783"/>
      <c r="O97" s="783"/>
      <c r="P97" s="783"/>
      <c r="Q97" s="784">
        <f>1355-1200</f>
        <v>155</v>
      </c>
      <c r="R97" s="773">
        <v>45200</v>
      </c>
    </row>
    <row r="98" spans="1:17" ht="15">
      <c r="A98" s="768">
        <v>45217</v>
      </c>
      <c r="B98" s="769">
        <v>11884</v>
      </c>
      <c r="C98" s="464" t="s">
        <v>1328</v>
      </c>
      <c r="D98" s="775"/>
      <c r="E98" s="775"/>
      <c r="F98" s="775"/>
      <c r="G98" s="775"/>
      <c r="H98" s="775"/>
      <c r="I98" s="775"/>
      <c r="J98" s="775"/>
      <c r="K98" s="775"/>
      <c r="L98" s="775"/>
      <c r="M98" s="775"/>
      <c r="N98" s="775"/>
      <c r="O98" s="775"/>
      <c r="P98" s="775"/>
      <c r="Q98" s="780">
        <v>1802</v>
      </c>
    </row>
    <row r="99" spans="1:17" ht="14.25">
      <c r="A99" s="760">
        <v>45219</v>
      </c>
      <c r="B99" s="769">
        <v>11885</v>
      </c>
      <c r="C99" s="464" t="s">
        <v>1329</v>
      </c>
      <c r="D99" s="775"/>
      <c r="E99" s="775"/>
      <c r="F99" s="775"/>
      <c r="G99" s="775"/>
      <c r="H99" s="775"/>
      <c r="I99" s="775"/>
      <c r="J99" s="775"/>
      <c r="K99" s="775"/>
      <c r="L99" s="775"/>
      <c r="M99" s="775"/>
      <c r="N99" s="775"/>
      <c r="O99" s="775"/>
      <c r="P99" s="775"/>
      <c r="Q99" s="780">
        <v>4755</v>
      </c>
    </row>
    <row r="100" spans="1:17" ht="14.25">
      <c r="A100" s="760">
        <v>45230</v>
      </c>
      <c r="B100" s="761">
        <v>11887</v>
      </c>
      <c r="C100" s="770" t="s">
        <v>1330</v>
      </c>
      <c r="D100" s="775"/>
      <c r="E100" s="775"/>
      <c r="F100" s="775"/>
      <c r="G100" s="775"/>
      <c r="H100" s="775"/>
      <c r="I100" s="775"/>
      <c r="J100" s="775"/>
      <c r="K100" s="775"/>
      <c r="L100" s="775"/>
      <c r="M100" s="775"/>
      <c r="N100" s="775"/>
      <c r="O100" s="775"/>
      <c r="P100" s="775"/>
      <c r="Q100" s="780">
        <v>5831</v>
      </c>
    </row>
    <row r="101" spans="1:17" ht="14.25">
      <c r="A101" s="760">
        <v>45230</v>
      </c>
      <c r="B101" s="761">
        <v>11889</v>
      </c>
      <c r="C101" s="770" t="s">
        <v>1331</v>
      </c>
      <c r="D101" s="775"/>
      <c r="E101" s="775"/>
      <c r="F101" s="775"/>
      <c r="G101" s="775"/>
      <c r="H101" s="775"/>
      <c r="I101" s="775"/>
      <c r="J101" s="775"/>
      <c r="K101" s="775"/>
      <c r="L101" s="775"/>
      <c r="M101" s="775"/>
      <c r="N101" s="775"/>
      <c r="O101" s="775"/>
      <c r="P101" s="775"/>
      <c r="Q101" s="780">
        <v>870</v>
      </c>
    </row>
    <row r="102" spans="1:17" ht="14.25">
      <c r="A102" s="464"/>
      <c r="B102" s="464"/>
      <c r="C102" s="600" t="s">
        <v>562</v>
      </c>
      <c r="D102" s="775"/>
      <c r="E102" s="775"/>
      <c r="F102" s="775"/>
      <c r="G102" s="775"/>
      <c r="H102" s="775"/>
      <c r="I102" s="775"/>
      <c r="J102" s="775"/>
      <c r="K102" s="775"/>
      <c r="L102" s="775"/>
      <c r="M102" s="775"/>
      <c r="N102" s="775"/>
      <c r="O102" s="775"/>
      <c r="P102" s="775"/>
      <c r="Q102" s="785">
        <f>SUM(Q94:Q101)</f>
        <v>44953</v>
      </c>
    </row>
    <row r="103" spans="2:17" ht="14.25">
      <c r="B103" s="98"/>
      <c r="C103" s="98"/>
      <c r="D103" s="779"/>
      <c r="E103" s="779"/>
      <c r="F103" s="779"/>
      <c r="G103" s="779"/>
      <c r="H103" s="779"/>
      <c r="I103" s="779"/>
      <c r="J103" s="779"/>
      <c r="K103" s="779"/>
      <c r="L103" s="779"/>
      <c r="M103" s="779"/>
      <c r="N103" s="779"/>
      <c r="O103" s="779"/>
      <c r="P103" s="779"/>
      <c r="Q103" s="779"/>
    </row>
    <row r="104" spans="1:17" ht="14.25">
      <c r="A104" s="768">
        <v>45237</v>
      </c>
      <c r="B104" s="769">
        <v>11891</v>
      </c>
      <c r="C104" s="770" t="s">
        <v>1332</v>
      </c>
      <c r="D104" s="775"/>
      <c r="E104" s="775"/>
      <c r="F104" s="775"/>
      <c r="G104" s="775"/>
      <c r="H104" s="775"/>
      <c r="I104" s="775"/>
      <c r="J104" s="775"/>
      <c r="K104" s="775"/>
      <c r="L104" s="775"/>
      <c r="M104" s="775"/>
      <c r="N104" s="775"/>
      <c r="O104" s="775"/>
      <c r="P104" s="775"/>
      <c r="Q104" s="780">
        <v>1210</v>
      </c>
    </row>
    <row r="105" spans="1:17" ht="14.25">
      <c r="A105" s="768">
        <v>45237</v>
      </c>
      <c r="B105" s="769">
        <v>11892</v>
      </c>
      <c r="C105" s="770" t="s">
        <v>1333</v>
      </c>
      <c r="D105" s="775"/>
      <c r="E105" s="775"/>
      <c r="F105" s="775"/>
      <c r="G105" s="775"/>
      <c r="H105" s="775"/>
      <c r="I105" s="775"/>
      <c r="J105" s="775"/>
      <c r="K105" s="775"/>
      <c r="L105" s="775"/>
      <c r="M105" s="775"/>
      <c r="N105" s="775"/>
      <c r="O105" s="775"/>
      <c r="P105" s="775"/>
      <c r="Q105" s="780">
        <v>4543</v>
      </c>
    </row>
    <row r="106" spans="1:17" ht="14.25">
      <c r="A106" s="768">
        <v>45237</v>
      </c>
      <c r="B106" s="769">
        <v>11893</v>
      </c>
      <c r="C106" s="770" t="s">
        <v>1334</v>
      </c>
      <c r="D106" s="775"/>
      <c r="E106" s="775"/>
      <c r="F106" s="775"/>
      <c r="G106" s="775"/>
      <c r="H106" s="775"/>
      <c r="I106" s="775"/>
      <c r="J106" s="775"/>
      <c r="K106" s="775"/>
      <c r="L106" s="775"/>
      <c r="M106" s="775"/>
      <c r="N106" s="775"/>
      <c r="O106" s="775"/>
      <c r="P106" s="775"/>
      <c r="Q106" s="780">
        <v>4515</v>
      </c>
    </row>
    <row r="107" spans="1:17" ht="14.25">
      <c r="A107" s="768">
        <v>45237</v>
      </c>
      <c r="B107" s="769">
        <v>11894</v>
      </c>
      <c r="C107" s="770" t="s">
        <v>1335</v>
      </c>
      <c r="D107" s="775"/>
      <c r="E107" s="775"/>
      <c r="F107" s="775"/>
      <c r="G107" s="775"/>
      <c r="H107" s="775"/>
      <c r="I107" s="775"/>
      <c r="J107" s="775"/>
      <c r="K107" s="775"/>
      <c r="L107" s="775"/>
      <c r="M107" s="775"/>
      <c r="N107" s="775"/>
      <c r="O107" s="775"/>
      <c r="P107" s="775"/>
      <c r="Q107" s="780">
        <v>2570</v>
      </c>
    </row>
    <row r="108" spans="1:17" ht="14.25">
      <c r="A108" s="768">
        <v>45237</v>
      </c>
      <c r="B108" s="769">
        <v>11895</v>
      </c>
      <c r="C108" s="464" t="s">
        <v>1336</v>
      </c>
      <c r="D108" s="775"/>
      <c r="E108" s="775"/>
      <c r="F108" s="775"/>
      <c r="G108" s="775"/>
      <c r="H108" s="775"/>
      <c r="I108" s="775"/>
      <c r="J108" s="775"/>
      <c r="K108" s="775"/>
      <c r="L108" s="775"/>
      <c r="M108" s="775"/>
      <c r="N108" s="775"/>
      <c r="O108" s="775"/>
      <c r="P108" s="775"/>
      <c r="Q108" s="780">
        <v>4515</v>
      </c>
    </row>
    <row r="109" spans="1:17" ht="14.25">
      <c r="A109" s="768">
        <v>45237</v>
      </c>
      <c r="B109" s="769">
        <v>11896</v>
      </c>
      <c r="C109" s="464" t="s">
        <v>1337</v>
      </c>
      <c r="D109" s="775"/>
      <c r="E109" s="775"/>
      <c r="F109" s="775"/>
      <c r="G109" s="775"/>
      <c r="H109" s="775"/>
      <c r="I109" s="775"/>
      <c r="J109" s="775"/>
      <c r="K109" s="775"/>
      <c r="L109" s="775"/>
      <c r="M109" s="775"/>
      <c r="N109" s="775"/>
      <c r="O109" s="775"/>
      <c r="P109" s="775"/>
      <c r="Q109" s="780">
        <v>780</v>
      </c>
    </row>
    <row r="110" spans="1:17" ht="14.25">
      <c r="A110" s="768">
        <v>45245</v>
      </c>
      <c r="B110" s="769">
        <v>11897</v>
      </c>
      <c r="C110" s="770" t="s">
        <v>1338</v>
      </c>
      <c r="D110" s="775"/>
      <c r="E110" s="775"/>
      <c r="F110" s="775"/>
      <c r="G110" s="775"/>
      <c r="H110" s="775"/>
      <c r="I110" s="775"/>
      <c r="J110" s="775"/>
      <c r="K110" s="775"/>
      <c r="L110" s="775"/>
      <c r="M110" s="775"/>
      <c r="N110" s="775"/>
      <c r="O110" s="775"/>
      <c r="P110" s="775"/>
      <c r="Q110" s="780">
        <v>3545</v>
      </c>
    </row>
    <row r="111" spans="1:17" ht="14.25">
      <c r="A111" s="464"/>
      <c r="B111" s="464"/>
      <c r="C111" s="600" t="s">
        <v>562</v>
      </c>
      <c r="D111" s="775"/>
      <c r="E111" s="775"/>
      <c r="F111" s="775"/>
      <c r="G111" s="775"/>
      <c r="H111" s="775"/>
      <c r="I111" s="775"/>
      <c r="J111" s="775"/>
      <c r="K111" s="775"/>
      <c r="L111" s="775"/>
      <c r="M111" s="775"/>
      <c r="N111" s="775"/>
      <c r="O111" s="775"/>
      <c r="P111" s="775"/>
      <c r="Q111" s="785">
        <f>SUM(Q104:Q110)</f>
        <v>21678</v>
      </c>
    </row>
    <row r="112" spans="2:17" ht="14.25">
      <c r="B112" s="98"/>
      <c r="C112" s="98"/>
      <c r="D112" s="779"/>
      <c r="E112" s="779"/>
      <c r="F112" s="779"/>
      <c r="G112" s="779"/>
      <c r="H112" s="779"/>
      <c r="I112" s="779"/>
      <c r="J112" s="779"/>
      <c r="K112" s="779"/>
      <c r="L112" s="779"/>
      <c r="M112" s="779"/>
      <c r="N112" s="779"/>
      <c r="O112" s="779"/>
      <c r="P112" s="779"/>
      <c r="Q112" s="779"/>
    </row>
    <row r="113" spans="1:17" ht="14.25">
      <c r="A113" s="390"/>
      <c r="B113" s="390"/>
      <c r="C113" s="390"/>
      <c r="D113" s="775"/>
      <c r="E113" s="787"/>
      <c r="F113" s="787"/>
      <c r="G113" s="787"/>
      <c r="H113" s="787"/>
      <c r="I113" s="787"/>
      <c r="J113" s="787"/>
      <c r="K113" s="787"/>
      <c r="L113" s="787"/>
      <c r="M113" s="787"/>
      <c r="N113" s="787"/>
      <c r="O113" s="787"/>
      <c r="P113" s="787"/>
      <c r="Q113" s="785"/>
    </row>
    <row r="114" spans="1:17" ht="14.25">
      <c r="A114" s="464"/>
      <c r="B114" s="464"/>
      <c r="C114" s="464"/>
      <c r="D114" s="775"/>
      <c r="E114" s="787"/>
      <c r="F114" s="787"/>
      <c r="G114" s="787"/>
      <c r="H114" s="787"/>
      <c r="I114" s="787"/>
      <c r="J114" s="787"/>
      <c r="K114" s="787"/>
      <c r="L114" s="787"/>
      <c r="M114" s="787"/>
      <c r="N114" s="787"/>
      <c r="O114" s="787"/>
      <c r="P114" s="787"/>
      <c r="Q114" s="787"/>
    </row>
    <row r="115" spans="1:17" ht="14.25">
      <c r="A115" s="768">
        <v>45261</v>
      </c>
      <c r="B115" s="769">
        <v>11902</v>
      </c>
      <c r="C115" s="770" t="s">
        <v>1339</v>
      </c>
      <c r="D115" s="775"/>
      <c r="E115" s="787"/>
      <c r="F115" s="787"/>
      <c r="G115" s="787"/>
      <c r="H115" s="787"/>
      <c r="I115" s="787"/>
      <c r="J115" s="787"/>
      <c r="K115" s="787"/>
      <c r="L115" s="787"/>
      <c r="M115" s="787"/>
      <c r="N115" s="787"/>
      <c r="O115" s="787"/>
      <c r="P115" s="787"/>
      <c r="Q115" s="786">
        <v>8220</v>
      </c>
    </row>
    <row r="116" spans="1:17" ht="14.25">
      <c r="A116" s="768">
        <v>45261</v>
      </c>
      <c r="B116" s="769">
        <v>11903</v>
      </c>
      <c r="C116" s="770" t="s">
        <v>1340</v>
      </c>
      <c r="D116" s="775"/>
      <c r="E116" s="787"/>
      <c r="F116" s="787"/>
      <c r="G116" s="787"/>
      <c r="H116" s="787"/>
      <c r="I116" s="787"/>
      <c r="J116" s="787"/>
      <c r="K116" s="787"/>
      <c r="L116" s="787"/>
      <c r="M116" s="787"/>
      <c r="N116" s="787"/>
      <c r="O116" s="787"/>
      <c r="P116" s="787"/>
      <c r="Q116" s="786">
        <v>4755</v>
      </c>
    </row>
    <row r="117" spans="1:17" ht="14.25">
      <c r="A117" s="768">
        <v>45261</v>
      </c>
      <c r="B117" s="769">
        <v>11904</v>
      </c>
      <c r="C117" s="770" t="s">
        <v>1341</v>
      </c>
      <c r="D117" s="775"/>
      <c r="E117" s="787"/>
      <c r="F117" s="787"/>
      <c r="G117" s="787"/>
      <c r="H117" s="787"/>
      <c r="I117" s="787"/>
      <c r="J117" s="787"/>
      <c r="K117" s="787"/>
      <c r="L117" s="787"/>
      <c r="M117" s="787"/>
      <c r="N117" s="787"/>
      <c r="O117" s="787"/>
      <c r="P117" s="787"/>
      <c r="Q117" s="786">
        <v>4755</v>
      </c>
    </row>
    <row r="118" spans="1:17" ht="14.25">
      <c r="A118" s="771">
        <v>45265</v>
      </c>
      <c r="B118" s="772">
        <v>11905</v>
      </c>
      <c r="C118" s="469" t="s">
        <v>1342</v>
      </c>
      <c r="D118" s="780">
        <f>2120+4085+1060+660</f>
        <v>7925</v>
      </c>
      <c r="E118" s="787"/>
      <c r="F118" s="787"/>
      <c r="G118" s="787"/>
      <c r="H118" s="787"/>
      <c r="I118" s="787"/>
      <c r="J118" s="787"/>
      <c r="K118" s="787"/>
      <c r="L118" s="787"/>
      <c r="M118" s="787"/>
      <c r="N118" s="787"/>
      <c r="O118" s="787"/>
      <c r="P118" s="787"/>
      <c r="Q118" s="784">
        <f>10580-2120-4085-1060-660</f>
        <v>2655</v>
      </c>
    </row>
    <row r="119" spans="1:17" ht="14.25">
      <c r="A119" s="768">
        <v>45265</v>
      </c>
      <c r="B119" s="769">
        <v>11907</v>
      </c>
      <c r="C119" s="464" t="s">
        <v>1343</v>
      </c>
      <c r="D119" s="775"/>
      <c r="E119" s="787"/>
      <c r="F119" s="787"/>
      <c r="G119" s="787"/>
      <c r="H119" s="787"/>
      <c r="I119" s="787"/>
      <c r="J119" s="787"/>
      <c r="K119" s="787"/>
      <c r="L119" s="787"/>
      <c r="M119" s="787"/>
      <c r="N119" s="787"/>
      <c r="O119" s="787"/>
      <c r="P119" s="787"/>
      <c r="Q119" s="786">
        <v>2875</v>
      </c>
    </row>
    <row r="120" spans="1:17" ht="14.25">
      <c r="A120" s="768">
        <v>45265</v>
      </c>
      <c r="B120" s="769">
        <v>11908</v>
      </c>
      <c r="C120" s="464" t="s">
        <v>1343</v>
      </c>
      <c r="D120" s="775"/>
      <c r="E120" s="787"/>
      <c r="F120" s="787"/>
      <c r="G120" s="787"/>
      <c r="H120" s="787"/>
      <c r="I120" s="787"/>
      <c r="J120" s="787"/>
      <c r="K120" s="787"/>
      <c r="L120" s="787"/>
      <c r="M120" s="787"/>
      <c r="N120" s="787"/>
      <c r="O120" s="787"/>
      <c r="P120" s="787"/>
      <c r="Q120" s="786">
        <v>2875</v>
      </c>
    </row>
    <row r="121" spans="1:17" ht="14.25">
      <c r="A121" s="768">
        <v>45267</v>
      </c>
      <c r="B121" s="769">
        <v>11909</v>
      </c>
      <c r="C121" s="770" t="s">
        <v>1255</v>
      </c>
      <c r="D121" s="775"/>
      <c r="E121" s="787"/>
      <c r="F121" s="787"/>
      <c r="G121" s="787"/>
      <c r="H121" s="787"/>
      <c r="I121" s="787"/>
      <c r="J121" s="787"/>
      <c r="K121" s="787"/>
      <c r="L121" s="787"/>
      <c r="M121" s="787"/>
      <c r="N121" s="787"/>
      <c r="O121" s="787"/>
      <c r="P121" s="787"/>
      <c r="Q121" s="786">
        <v>330</v>
      </c>
    </row>
    <row r="122" spans="1:17" ht="14.25">
      <c r="A122" s="768">
        <v>45267</v>
      </c>
      <c r="B122" s="769">
        <v>11910</v>
      </c>
      <c r="C122" s="770" t="s">
        <v>1344</v>
      </c>
      <c r="D122" s="780">
        <f>549+7670.5</f>
        <v>8219.5</v>
      </c>
      <c r="E122" s="787"/>
      <c r="F122" s="787"/>
      <c r="G122" s="787"/>
      <c r="H122" s="787"/>
      <c r="I122" s="787"/>
      <c r="J122" s="787"/>
      <c r="K122" s="787"/>
      <c r="L122" s="787"/>
      <c r="M122" s="787"/>
      <c r="N122" s="787"/>
      <c r="O122" s="787"/>
      <c r="P122" s="787"/>
      <c r="Q122" s="786">
        <f>8220-549-7670.5</f>
        <v>0.5</v>
      </c>
    </row>
    <row r="123" spans="1:17" ht="14.25">
      <c r="A123" s="768">
        <v>45268</v>
      </c>
      <c r="B123" s="769">
        <v>11912</v>
      </c>
      <c r="C123" s="464" t="s">
        <v>1345</v>
      </c>
      <c r="D123" s="775"/>
      <c r="E123" s="787"/>
      <c r="F123" s="787"/>
      <c r="G123" s="787"/>
      <c r="H123" s="787"/>
      <c r="I123" s="787"/>
      <c r="J123" s="787"/>
      <c r="K123" s="787"/>
      <c r="L123" s="787"/>
      <c r="M123" s="787"/>
      <c r="N123" s="787"/>
      <c r="O123" s="787"/>
      <c r="P123" s="787"/>
      <c r="Q123" s="786">
        <v>15870</v>
      </c>
    </row>
    <row r="124" spans="1:17" ht="14.25">
      <c r="A124" s="768">
        <v>45274</v>
      </c>
      <c r="B124" s="769">
        <v>11913</v>
      </c>
      <c r="C124" s="770" t="s">
        <v>1346</v>
      </c>
      <c r="D124" s="775"/>
      <c r="E124" s="787"/>
      <c r="F124" s="787"/>
      <c r="G124" s="787"/>
      <c r="H124" s="787"/>
      <c r="I124" s="787"/>
      <c r="J124" s="787"/>
      <c r="K124" s="787"/>
      <c r="L124" s="787"/>
      <c r="M124" s="787"/>
      <c r="N124" s="787"/>
      <c r="O124" s="787"/>
      <c r="P124" s="787"/>
      <c r="Q124" s="786">
        <v>1500</v>
      </c>
    </row>
    <row r="125" spans="1:17" ht="14.25">
      <c r="A125" s="760">
        <v>45287</v>
      </c>
      <c r="B125" s="761">
        <v>11914</v>
      </c>
      <c r="C125" s="770" t="s">
        <v>1347</v>
      </c>
      <c r="D125" s="775"/>
      <c r="E125" s="787"/>
      <c r="F125" s="787"/>
      <c r="G125" s="787"/>
      <c r="H125" s="787"/>
      <c r="I125" s="787"/>
      <c r="J125" s="787"/>
      <c r="K125" s="787"/>
      <c r="L125" s="787"/>
      <c r="M125" s="787"/>
      <c r="N125" s="787"/>
      <c r="O125" s="787"/>
      <c r="P125" s="787"/>
      <c r="Q125" s="780">
        <v>3965</v>
      </c>
    </row>
    <row r="126" spans="1:17" ht="14.25">
      <c r="A126" s="760">
        <v>45287</v>
      </c>
      <c r="B126" s="761">
        <v>11915</v>
      </c>
      <c r="C126" s="770" t="s">
        <v>1347</v>
      </c>
      <c r="D126" s="775"/>
      <c r="E126" s="787"/>
      <c r="F126" s="787"/>
      <c r="G126" s="787"/>
      <c r="H126" s="787"/>
      <c r="I126" s="787"/>
      <c r="J126" s="787"/>
      <c r="K126" s="787"/>
      <c r="L126" s="787"/>
      <c r="M126" s="787"/>
      <c r="N126" s="787"/>
      <c r="O126" s="787"/>
      <c r="P126" s="787"/>
      <c r="Q126" s="780">
        <v>660</v>
      </c>
    </row>
    <row r="127" spans="1:17" ht="14.25">
      <c r="A127" s="760">
        <v>45288</v>
      </c>
      <c r="B127" s="761">
        <v>11916</v>
      </c>
      <c r="C127" s="770" t="s">
        <v>1348</v>
      </c>
      <c r="D127" s="775"/>
      <c r="E127" s="787"/>
      <c r="F127" s="787"/>
      <c r="G127" s="787"/>
      <c r="H127" s="787"/>
      <c r="I127" s="787"/>
      <c r="J127" s="787"/>
      <c r="K127" s="787"/>
      <c r="L127" s="787"/>
      <c r="M127" s="787"/>
      <c r="N127" s="787"/>
      <c r="O127" s="787"/>
      <c r="P127" s="787"/>
      <c r="Q127" s="780">
        <v>15870</v>
      </c>
    </row>
    <row r="128" spans="1:17" ht="14.25">
      <c r="A128" s="464"/>
      <c r="B128" s="464"/>
      <c r="C128" s="600" t="s">
        <v>562</v>
      </c>
      <c r="D128" s="775"/>
      <c r="E128" s="787"/>
      <c r="F128" s="787"/>
      <c r="G128" s="787"/>
      <c r="H128" s="787"/>
      <c r="I128" s="787"/>
      <c r="J128" s="787"/>
      <c r="K128" s="787"/>
      <c r="L128" s="787"/>
      <c r="M128" s="787"/>
      <c r="N128" s="787"/>
      <c r="O128" s="787"/>
      <c r="P128" s="787"/>
      <c r="Q128" s="785">
        <f>SUM(Q115:Q127)</f>
        <v>64330.5</v>
      </c>
    </row>
    <row r="129" spans="2:17" ht="14.25">
      <c r="B129" s="98"/>
      <c r="C129" s="98"/>
      <c r="D129" s="779"/>
      <c r="E129" s="779"/>
      <c r="F129" s="779"/>
      <c r="G129" s="779"/>
      <c r="H129" s="779"/>
      <c r="I129" s="779"/>
      <c r="J129" s="779"/>
      <c r="K129" s="779"/>
      <c r="L129" s="779"/>
      <c r="M129" s="779"/>
      <c r="N129" s="779"/>
      <c r="O129" s="779"/>
      <c r="P129" s="779"/>
      <c r="Q129" s="779"/>
    </row>
    <row r="130" spans="2:17" ht="14.25">
      <c r="B130" s="98"/>
      <c r="C130" s="98"/>
      <c r="D130" s="779"/>
      <c r="E130" s="779"/>
      <c r="F130" s="779"/>
      <c r="G130" s="779"/>
      <c r="H130" s="779"/>
      <c r="I130" s="779"/>
      <c r="J130" s="779"/>
      <c r="K130" s="779"/>
      <c r="L130" s="779"/>
      <c r="M130" s="779"/>
      <c r="N130" s="779"/>
      <c r="O130" s="779"/>
      <c r="P130" s="779"/>
      <c r="Q130" s="779"/>
    </row>
    <row r="131" spans="2:17" ht="14.25">
      <c r="B131" s="774" t="s">
        <v>1349</v>
      </c>
      <c r="C131" s="774"/>
      <c r="D131" s="788"/>
      <c r="E131" s="788"/>
      <c r="F131" s="788"/>
      <c r="G131" s="788"/>
      <c r="H131" s="788"/>
      <c r="I131" s="788"/>
      <c r="J131" s="788"/>
      <c r="K131" s="788"/>
      <c r="L131" s="788"/>
      <c r="M131" s="788"/>
      <c r="N131" s="788"/>
      <c r="O131" s="788"/>
      <c r="P131" s="788"/>
      <c r="Q131" s="788">
        <f>+Q7+Q12+Q22+Q29+Q42+Q55+Q68+Q83+Q91+Q102+Q111+Q128</f>
        <v>335540.5</v>
      </c>
    </row>
    <row r="132" spans="2:17" ht="14.25">
      <c r="B132" s="98"/>
      <c r="C132" s="98"/>
      <c r="D132" s="98"/>
      <c r="E132" s="98"/>
      <c r="F132" s="98"/>
      <c r="G132" s="98"/>
      <c r="H132" s="98"/>
      <c r="I132" s="98"/>
      <c r="J132" s="98"/>
      <c r="K132" s="98"/>
      <c r="L132" s="98"/>
      <c r="M132" s="98"/>
      <c r="N132" s="98"/>
      <c r="O132" s="98"/>
      <c r="P132" s="98"/>
      <c r="Q132" s="764"/>
    </row>
    <row r="133" spans="2:17" ht="14.25">
      <c r="B133" s="98"/>
      <c r="C133" s="98"/>
      <c r="D133" s="98"/>
      <c r="E133" s="98"/>
      <c r="F133" s="98"/>
      <c r="G133" s="98"/>
      <c r="H133" s="98"/>
      <c r="I133" s="98"/>
      <c r="J133" s="98"/>
      <c r="K133" s="98"/>
      <c r="L133" s="98"/>
      <c r="M133" s="98"/>
      <c r="N133" s="98"/>
      <c r="O133" s="98"/>
      <c r="P133" s="98"/>
      <c r="Q133" s="764"/>
    </row>
    <row r="134" spans="2:17" ht="14.25">
      <c r="B134" s="98"/>
      <c r="C134" s="98"/>
      <c r="D134" s="98"/>
      <c r="E134" s="98"/>
      <c r="F134" s="98"/>
      <c r="G134" s="98"/>
      <c r="H134" s="98"/>
      <c r="I134" s="98"/>
      <c r="J134" s="98"/>
      <c r="K134" s="98"/>
      <c r="L134" s="98"/>
      <c r="M134" s="98"/>
      <c r="N134" s="98"/>
      <c r="O134" s="98"/>
      <c r="P134" s="98"/>
      <c r="Q134" s="764"/>
    </row>
    <row r="135" spans="2:17" ht="14.25">
      <c r="B135" s="98"/>
      <c r="C135" s="98"/>
      <c r="D135" s="98"/>
      <c r="E135" s="98"/>
      <c r="F135" s="98"/>
      <c r="G135" s="98"/>
      <c r="H135" s="98"/>
      <c r="I135" s="98"/>
      <c r="J135" s="98"/>
      <c r="K135" s="98"/>
      <c r="L135" s="98"/>
      <c r="M135" s="98"/>
      <c r="N135" s="98"/>
      <c r="O135" s="98"/>
      <c r="P135" s="98"/>
      <c r="Q135" s="764"/>
    </row>
    <row r="136" spans="2:17" ht="14.25">
      <c r="B136" s="98"/>
      <c r="C136" s="98"/>
      <c r="D136" s="98"/>
      <c r="E136" s="98"/>
      <c r="F136" s="98"/>
      <c r="G136" s="98"/>
      <c r="H136" s="98"/>
      <c r="I136" s="98"/>
      <c r="J136" s="98"/>
      <c r="K136" s="98"/>
      <c r="L136" s="98"/>
      <c r="M136" s="98"/>
      <c r="N136" s="98"/>
      <c r="O136" s="98"/>
      <c r="P136" s="98"/>
      <c r="Q136" s="764"/>
    </row>
    <row r="137" spans="7:11" s="456" customFormat="1" ht="14.25">
      <c r="G137" s="53"/>
      <c r="H137" s="53"/>
      <c r="I137" s="53"/>
      <c r="J137" s="53"/>
      <c r="K137" s="53"/>
    </row>
    <row r="138" spans="7:11" s="456" customFormat="1" ht="15">
      <c r="G138" s="53"/>
      <c r="H138" s="53"/>
      <c r="I138" s="53"/>
      <c r="J138" s="53"/>
      <c r="K138" s="53"/>
    </row>
    <row r="139" spans="2:11" s="456" customFormat="1" ht="18">
      <c r="B139" s="827" t="s">
        <v>1091</v>
      </c>
      <c r="C139" s="827"/>
      <c r="D139" s="827"/>
      <c r="E139" s="827"/>
      <c r="F139" s="827"/>
      <c r="G139" s="827"/>
      <c r="H139" s="827"/>
      <c r="I139" s="827"/>
      <c r="J139" s="827"/>
      <c r="K139" s="827"/>
    </row>
    <row r="140" spans="7:11" s="456" customFormat="1" ht="14.25">
      <c r="G140" s="53"/>
      <c r="H140" s="53"/>
      <c r="I140" s="53"/>
      <c r="J140" s="53"/>
      <c r="K140" s="53"/>
    </row>
    <row r="141" spans="7:11" s="456" customFormat="1" ht="14.25">
      <c r="G141" s="53"/>
      <c r="H141" s="53"/>
      <c r="I141" s="53"/>
      <c r="J141" s="53"/>
      <c r="K141" s="53"/>
    </row>
    <row r="142" spans="7:11" s="456" customFormat="1" ht="14.25">
      <c r="G142" s="53"/>
      <c r="H142" s="53"/>
      <c r="I142" s="53"/>
      <c r="J142" s="53"/>
      <c r="K142" s="53"/>
    </row>
    <row r="143" spans="7:11" s="456" customFormat="1" ht="15">
      <c r="G143" s="53"/>
      <c r="H143" s="53"/>
      <c r="I143" s="53"/>
      <c r="J143" s="53"/>
      <c r="K143" s="53"/>
    </row>
    <row r="144" spans="1:11" s="456" customFormat="1" ht="18">
      <c r="A144" s="596" t="s">
        <v>1351</v>
      </c>
      <c r="C144" s="828" t="s">
        <v>1350</v>
      </c>
      <c r="D144" s="828"/>
      <c r="E144" s="828"/>
      <c r="F144" s="828"/>
      <c r="G144" s="53"/>
      <c r="H144" s="53"/>
      <c r="I144" s="53"/>
      <c r="J144" s="53"/>
      <c r="K144" s="53"/>
    </row>
    <row r="145" spans="7:11" s="456" customFormat="1" ht="14.25">
      <c r="G145" s="53"/>
      <c r="H145" s="53"/>
      <c r="I145" s="53"/>
      <c r="J145" s="53"/>
      <c r="K145" s="53"/>
    </row>
  </sheetData>
  <sheetProtection/>
  <mergeCells count="2">
    <mergeCell ref="B139:K139"/>
    <mergeCell ref="C144:F144"/>
  </mergeCells>
  <printOptions/>
  <pageMargins left="0.7086614173228347" right="0.7086614173228347" top="0.7480314960629921" bottom="0.7480314960629921" header="0.31496062992125984" footer="0.31496062992125984"/>
  <pageSetup horizontalDpi="600" verticalDpi="600" orientation="portrait" scale="53" r:id="rId4"/>
  <rowBreaks count="1" manualBreakCount="1">
    <brk id="70" max="255" man="1"/>
  </rowBreaks>
  <drawing r:id="rId3"/>
  <legacyDrawing r:id="rId2"/>
</worksheet>
</file>

<file path=xl/worksheets/sheet15.xml><?xml version="1.0" encoding="utf-8"?>
<worksheet xmlns="http://schemas.openxmlformats.org/spreadsheetml/2006/main" xmlns:r="http://schemas.openxmlformats.org/officeDocument/2006/relationships">
  <dimension ref="A3:K36"/>
  <sheetViews>
    <sheetView zoomScalePageLayoutView="0" workbookViewId="0" topLeftCell="A1">
      <selection activeCell="C15" sqref="C15"/>
    </sheetView>
  </sheetViews>
  <sheetFormatPr defaultColWidth="11.421875" defaultRowHeight="15"/>
  <cols>
    <col min="2" max="2" width="32.140625" style="0" customWidth="1"/>
    <col min="3" max="3" width="26.8515625" style="0" customWidth="1"/>
    <col min="4" max="4" width="52.8515625" style="0" customWidth="1"/>
  </cols>
  <sheetData>
    <row r="3" spans="1:4" ht="14.25">
      <c r="A3" s="446" t="s">
        <v>1373</v>
      </c>
      <c r="B3" s="455"/>
      <c r="C3" s="455"/>
      <c r="D3" s="455"/>
    </row>
    <row r="4" spans="1:4" ht="14.25">
      <c r="A4" s="455"/>
      <c r="B4" s="455"/>
      <c r="C4" s="455"/>
      <c r="D4" s="455"/>
    </row>
    <row r="5" spans="1:4" ht="14.25">
      <c r="A5" s="600" t="s">
        <v>1175</v>
      </c>
      <c r="B5" s="601" t="s">
        <v>1176</v>
      </c>
      <c r="C5" s="601" t="s">
        <v>1177</v>
      </c>
      <c r="D5" s="601" t="s">
        <v>1243</v>
      </c>
    </row>
    <row r="6" spans="1:4" ht="14.25">
      <c r="A6" s="797">
        <v>45268</v>
      </c>
      <c r="B6" s="464" t="s">
        <v>1374</v>
      </c>
      <c r="C6" s="464" t="s">
        <v>1375</v>
      </c>
      <c r="D6" s="798">
        <v>13481.5</v>
      </c>
    </row>
    <row r="7" spans="1:4" ht="14.25">
      <c r="A7" s="797">
        <v>45287</v>
      </c>
      <c r="B7" s="464" t="s">
        <v>1376</v>
      </c>
      <c r="C7" s="464" t="s">
        <v>1377</v>
      </c>
      <c r="D7" s="798">
        <v>4720</v>
      </c>
    </row>
    <row r="8" spans="1:4" ht="14.25">
      <c r="A8" s="799"/>
      <c r="B8" s="800" t="s">
        <v>1372</v>
      </c>
      <c r="C8" s="800"/>
      <c r="D8" s="801">
        <f>SUM(D6:D7)</f>
        <v>18201.5</v>
      </c>
    </row>
    <row r="11" s="455" customFormat="1" ht="14.25">
      <c r="A11" s="388" t="s">
        <v>1378</v>
      </c>
    </row>
    <row r="12" s="455" customFormat="1" ht="14.25">
      <c r="A12" s="388" t="s">
        <v>1379</v>
      </c>
    </row>
    <row r="13" s="455" customFormat="1" ht="14.25"/>
    <row r="14" s="455" customFormat="1" ht="14.25"/>
    <row r="15" s="455" customFormat="1" ht="14.25"/>
    <row r="16" s="455" customFormat="1" ht="14.25"/>
    <row r="17" s="455" customFormat="1" ht="14.25"/>
    <row r="21" spans="7:11" s="456" customFormat="1" ht="14.25">
      <c r="G21" s="53"/>
      <c r="H21" s="53"/>
      <c r="I21" s="53"/>
      <c r="J21" s="53"/>
      <c r="K21" s="53"/>
    </row>
    <row r="22" spans="7:11" s="456" customFormat="1" ht="15">
      <c r="G22" s="53"/>
      <c r="H22" s="53"/>
      <c r="I22" s="53"/>
      <c r="J22" s="53"/>
      <c r="K22" s="53"/>
    </row>
    <row r="23" spans="2:11" s="456" customFormat="1" ht="18">
      <c r="B23" s="827" t="s">
        <v>1381</v>
      </c>
      <c r="C23" s="827"/>
      <c r="D23" s="827"/>
      <c r="E23" s="827"/>
      <c r="F23" s="827"/>
      <c r="G23" s="827"/>
      <c r="H23" s="827"/>
      <c r="I23" s="827"/>
      <c r="J23" s="827"/>
      <c r="K23" s="827"/>
    </row>
    <row r="24" spans="7:11" s="456" customFormat="1" ht="14.25">
      <c r="G24" s="53"/>
      <c r="H24" s="53"/>
      <c r="I24" s="53"/>
      <c r="J24" s="53"/>
      <c r="K24" s="53"/>
    </row>
    <row r="25" spans="7:11" s="456" customFormat="1" ht="14.25">
      <c r="G25" s="53"/>
      <c r="H25" s="53"/>
      <c r="I25" s="53"/>
      <c r="J25" s="53"/>
      <c r="K25" s="53"/>
    </row>
    <row r="26" spans="7:11" s="456" customFormat="1" ht="14.25">
      <c r="G26" s="53"/>
      <c r="H26" s="53"/>
      <c r="I26" s="53"/>
      <c r="J26" s="53"/>
      <c r="K26" s="53"/>
    </row>
    <row r="27" spans="7:11" s="456" customFormat="1" ht="14.25">
      <c r="G27" s="53"/>
      <c r="H27" s="53"/>
      <c r="I27" s="53"/>
      <c r="J27" s="53"/>
      <c r="K27" s="53"/>
    </row>
    <row r="28" spans="7:11" s="456" customFormat="1" ht="14.25">
      <c r="G28" s="53"/>
      <c r="H28" s="53"/>
      <c r="I28" s="53"/>
      <c r="J28" s="53"/>
      <c r="K28" s="53"/>
    </row>
    <row r="29" spans="7:11" s="456" customFormat="1" ht="15">
      <c r="G29" s="53"/>
      <c r="H29" s="53"/>
      <c r="I29" s="53"/>
      <c r="J29" s="53"/>
      <c r="K29" s="53"/>
    </row>
    <row r="30" spans="1:11" s="456" customFormat="1" ht="18">
      <c r="A30" s="596" t="s">
        <v>1351</v>
      </c>
      <c r="C30" s="828" t="s">
        <v>1380</v>
      </c>
      <c r="D30" s="828"/>
      <c r="E30" s="828"/>
      <c r="F30" s="828"/>
      <c r="G30" s="53"/>
      <c r="H30" s="53"/>
      <c r="I30" s="53"/>
      <c r="J30" s="53"/>
      <c r="K30" s="53"/>
    </row>
    <row r="31" spans="7:11" s="456" customFormat="1" ht="14.25">
      <c r="G31" s="53"/>
      <c r="H31" s="53"/>
      <c r="I31" s="53"/>
      <c r="J31" s="53"/>
      <c r="K31" s="53"/>
    </row>
    <row r="36" ht="14.25">
      <c r="D36" t="s">
        <v>597</v>
      </c>
    </row>
  </sheetData>
  <sheetProtection/>
  <mergeCells count="2">
    <mergeCell ref="B23:K23"/>
    <mergeCell ref="C30:F30"/>
  </mergeCells>
  <printOptions/>
  <pageMargins left="0.7" right="0.7" top="0.75" bottom="0.75" header="0.3" footer="0.3"/>
  <pageSetup horizontalDpi="600" verticalDpi="600" orientation="portrait" scale="57" r:id="rId2"/>
  <colBreaks count="1" manualBreakCount="1">
    <brk id="7" max="20" man="1"/>
  </colBreaks>
  <drawing r:id="rId1"/>
</worksheet>
</file>

<file path=xl/worksheets/sheet2.xml><?xml version="1.0" encoding="utf-8"?>
<worksheet xmlns="http://schemas.openxmlformats.org/spreadsheetml/2006/main" xmlns:r="http://schemas.openxmlformats.org/officeDocument/2006/relationships">
  <dimension ref="A1:O49"/>
  <sheetViews>
    <sheetView showGridLines="0" tabSelected="1" zoomScalePageLayoutView="0" workbookViewId="0" topLeftCell="A1">
      <selection activeCell="B13" sqref="B13"/>
    </sheetView>
  </sheetViews>
  <sheetFormatPr defaultColWidth="11.421875" defaultRowHeight="15"/>
  <cols>
    <col min="1" max="1" width="8.140625" style="225" customWidth="1"/>
    <col min="2" max="2" width="50.00390625" style="225" customWidth="1"/>
    <col min="3" max="4" width="1.7109375" style="225" customWidth="1"/>
    <col min="5" max="5" width="18.8515625" style="225" customWidth="1"/>
    <col min="6" max="6" width="13.7109375" style="225" customWidth="1"/>
    <col min="7" max="7" width="24.00390625" style="225" hidden="1" customWidth="1"/>
    <col min="8" max="8" width="5.57421875" style="225" hidden="1" customWidth="1"/>
    <col min="9" max="9" width="4.7109375" style="225" customWidth="1"/>
    <col min="10" max="10" width="3.7109375" style="225" customWidth="1"/>
    <col min="11" max="11" width="19.8515625" style="225" customWidth="1"/>
    <col min="12" max="12" width="14.8515625" style="225" hidden="1" customWidth="1"/>
    <col min="13" max="13" width="11.421875" style="225" customWidth="1"/>
    <col min="14" max="14" width="19.00390625" style="225" bestFit="1" customWidth="1"/>
    <col min="15" max="16384" width="11.421875" style="226" customWidth="1"/>
  </cols>
  <sheetData>
    <row r="1" spans="1:9" ht="15">
      <c r="A1" s="803" t="str">
        <f>+'[4]ESF - Situación Financiera'!A1</f>
        <v>OFICINA NACIONAL DE LA PROPIEDAD INDUSTRIAL(ONAPI)</v>
      </c>
      <c r="B1" s="803"/>
      <c r="C1" s="803"/>
      <c r="D1" s="803"/>
      <c r="E1" s="803"/>
      <c r="F1" s="803"/>
      <c r="G1" s="803"/>
      <c r="H1" s="803"/>
      <c r="I1" s="803"/>
    </row>
    <row r="2" spans="1:9" ht="15">
      <c r="A2" s="803" t="s">
        <v>712</v>
      </c>
      <c r="B2" s="803"/>
      <c r="C2" s="803"/>
      <c r="D2" s="803"/>
      <c r="E2" s="803"/>
      <c r="F2" s="803"/>
      <c r="G2" s="803"/>
      <c r="H2" s="803"/>
      <c r="I2" s="803"/>
    </row>
    <row r="3" spans="1:9" ht="15">
      <c r="A3" s="803" t="s">
        <v>1067</v>
      </c>
      <c r="B3" s="803"/>
      <c r="C3" s="803"/>
      <c r="D3" s="803"/>
      <c r="E3" s="803"/>
      <c r="F3" s="803"/>
      <c r="G3" s="803"/>
      <c r="H3" s="803"/>
      <c r="I3" s="803"/>
    </row>
    <row r="4" spans="1:9" ht="15">
      <c r="A4" s="803" t="s">
        <v>684</v>
      </c>
      <c r="B4" s="803"/>
      <c r="C4" s="803"/>
      <c r="D4" s="803"/>
      <c r="E4" s="803"/>
      <c r="F4" s="803"/>
      <c r="G4" s="803"/>
      <c r="H4" s="803"/>
      <c r="I4" s="803"/>
    </row>
    <row r="5" spans="1:9" ht="15">
      <c r="A5" s="374"/>
      <c r="B5" s="374"/>
      <c r="C5" s="374"/>
      <c r="D5" s="374"/>
      <c r="E5" s="521"/>
      <c r="F5" s="392"/>
      <c r="G5" s="374"/>
      <c r="H5" s="374"/>
      <c r="I5" s="374"/>
    </row>
    <row r="6" spans="1:9" ht="15">
      <c r="A6" s="374"/>
      <c r="B6" s="374"/>
      <c r="C6" s="374"/>
      <c r="D6" s="374"/>
      <c r="E6" s="521"/>
      <c r="F6" s="392"/>
      <c r="G6" s="374"/>
      <c r="H6" s="374"/>
      <c r="I6" s="374"/>
    </row>
    <row r="7" spans="1:9" ht="14.25">
      <c r="A7" s="343"/>
      <c r="B7" s="344"/>
      <c r="C7" s="344"/>
      <c r="D7" s="344"/>
      <c r="E7" s="344"/>
      <c r="F7" s="344"/>
      <c r="G7" s="344"/>
      <c r="H7" s="343"/>
      <c r="I7" s="343"/>
    </row>
    <row r="8" spans="1:9" ht="14.25">
      <c r="A8" s="343"/>
      <c r="B8" s="343"/>
      <c r="C8" s="343"/>
      <c r="D8" s="343"/>
      <c r="E8" s="345">
        <v>2023</v>
      </c>
      <c r="F8" s="345">
        <v>2022</v>
      </c>
      <c r="G8" s="345">
        <v>2021</v>
      </c>
      <c r="H8" s="345">
        <v>2020</v>
      </c>
      <c r="I8" s="346"/>
    </row>
    <row r="9" spans="1:12" ht="14.25">
      <c r="A9" s="362" t="s">
        <v>713</v>
      </c>
      <c r="B9" s="363"/>
      <c r="C9" s="363"/>
      <c r="D9" s="363"/>
      <c r="E9" s="363"/>
      <c r="F9" s="363"/>
      <c r="G9" s="363"/>
      <c r="H9" s="364"/>
      <c r="I9" s="365"/>
      <c r="L9" s="227"/>
    </row>
    <row r="10" spans="1:12" ht="14.25">
      <c r="A10" s="343"/>
      <c r="B10" s="241" t="s">
        <v>714</v>
      </c>
      <c r="C10" s="241"/>
      <c r="D10" s="241"/>
      <c r="E10" s="466">
        <f>+'Relación de Ingresos 2023'!F63</f>
        <v>509031145.21</v>
      </c>
      <c r="F10" s="366">
        <v>474452821.74</v>
      </c>
      <c r="G10" s="366">
        <v>462848537.48</v>
      </c>
      <c r="H10" s="366">
        <v>364743513.69</v>
      </c>
      <c r="I10" s="367"/>
      <c r="L10" s="227" t="e">
        <f>+H10+#REF!</f>
        <v>#REF!</v>
      </c>
    </row>
    <row r="11" spans="1:12" ht="14.25">
      <c r="A11" s="343"/>
      <c r="B11" s="241" t="s">
        <v>659</v>
      </c>
      <c r="C11" s="241"/>
      <c r="D11" s="241"/>
      <c r="E11" s="466">
        <f>+'Relación de Ingresos 2023'!F65</f>
        <v>59100259.92</v>
      </c>
      <c r="F11" s="366">
        <v>59100259.92</v>
      </c>
      <c r="G11" s="366">
        <v>64422589</v>
      </c>
      <c r="H11" s="366">
        <v>63323357</v>
      </c>
      <c r="I11" s="367"/>
      <c r="L11" s="227" t="e">
        <f>+H11+#REF!</f>
        <v>#REF!</v>
      </c>
    </row>
    <row r="12" spans="1:14" ht="14.25">
      <c r="A12" s="343"/>
      <c r="B12" s="241" t="s">
        <v>715</v>
      </c>
      <c r="C12" s="241"/>
      <c r="D12" s="241"/>
      <c r="E12" s="467">
        <f>+'Relación de Ingresos 2023'!F66</f>
        <v>749965.13</v>
      </c>
      <c r="F12" s="371">
        <f>634008.57+8653.09+500000</f>
        <v>1142661.66</v>
      </c>
      <c r="G12" s="371">
        <v>613168.43</v>
      </c>
      <c r="H12" s="371">
        <v>867898.06</v>
      </c>
      <c r="I12" s="367"/>
      <c r="L12" s="227" t="e">
        <f>+H12+#REF!</f>
        <v>#REF!</v>
      </c>
      <c r="N12" s="227"/>
    </row>
    <row r="13" spans="1:14" ht="14.25">
      <c r="A13" s="362" t="s">
        <v>806</v>
      </c>
      <c r="B13" s="343"/>
      <c r="C13" s="343"/>
      <c r="D13" s="343"/>
      <c r="E13" s="368">
        <f>SUM(E10:E12)</f>
        <v>568881370.26</v>
      </c>
      <c r="F13" s="368">
        <f>SUM(F10:F12)</f>
        <v>534695743.32000005</v>
      </c>
      <c r="G13" s="368">
        <f>SUM(G10:G12)</f>
        <v>527884294.91</v>
      </c>
      <c r="H13" s="368">
        <f>SUM(H10:H12)</f>
        <v>428934768.75</v>
      </c>
      <c r="I13" s="367"/>
      <c r="K13" s="227"/>
      <c r="L13" s="227" t="e">
        <f>+H13+#REF!</f>
        <v>#REF!</v>
      </c>
      <c r="N13" s="409"/>
    </row>
    <row r="14" spans="1:14" ht="14.25">
      <c r="A14" s="343"/>
      <c r="B14" s="343" t="s">
        <v>597</v>
      </c>
      <c r="C14" s="343"/>
      <c r="D14" s="343"/>
      <c r="E14" s="343"/>
      <c r="F14" s="343"/>
      <c r="G14" s="343"/>
      <c r="H14" s="366"/>
      <c r="I14" s="366"/>
      <c r="N14" s="337"/>
    </row>
    <row r="15" spans="1:12" ht="14.25">
      <c r="A15" s="362" t="s">
        <v>902</v>
      </c>
      <c r="B15" s="343"/>
      <c r="C15" s="343"/>
      <c r="D15" s="343"/>
      <c r="E15" s="343"/>
      <c r="F15" s="343"/>
      <c r="G15" s="343"/>
      <c r="H15" s="367"/>
      <c r="I15" s="367"/>
      <c r="K15" s="338"/>
      <c r="L15" s="227"/>
    </row>
    <row r="16" spans="1:13" ht="14.25">
      <c r="A16" s="343"/>
      <c r="B16" s="343" t="s">
        <v>716</v>
      </c>
      <c r="C16" s="343"/>
      <c r="D16" s="343"/>
      <c r="E16" s="643">
        <f>+'Notas Estado de Resultados'!H48</f>
        <v>447085240.08</v>
      </c>
      <c r="F16" s="351">
        <f>+'Notas Estado de Resultados'!J48</f>
        <v>404356333.09999996</v>
      </c>
      <c r="G16" s="351">
        <v>348666564.84</v>
      </c>
      <c r="H16" s="351">
        <v>280047658.96</v>
      </c>
      <c r="I16" s="366"/>
      <c r="K16" s="336"/>
      <c r="L16" s="227"/>
      <c r="M16" s="227"/>
    </row>
    <row r="17" spans="1:12" ht="14.25">
      <c r="A17" s="343"/>
      <c r="B17" s="343" t="s">
        <v>717</v>
      </c>
      <c r="C17" s="343"/>
      <c r="D17" s="343"/>
      <c r="E17" s="643">
        <f>+'Notas Estado de Resultados'!H77</f>
        <v>1316176.25</v>
      </c>
      <c r="F17" s="351">
        <f>+'Notas Estado de Resultados'!J77</f>
        <v>1274863.77</v>
      </c>
      <c r="G17" s="351">
        <v>953723.53</v>
      </c>
      <c r="H17" s="351">
        <v>1434300.51</v>
      </c>
      <c r="I17" s="367"/>
      <c r="K17" s="336"/>
      <c r="L17" s="227"/>
    </row>
    <row r="18" spans="1:15" ht="14.25">
      <c r="A18" s="343"/>
      <c r="B18" s="241" t="s">
        <v>718</v>
      </c>
      <c r="C18" s="343"/>
      <c r="D18" s="343"/>
      <c r="E18" s="643">
        <f>+'Notas Estado de Resultados'!H140</f>
        <v>18541835.460000005</v>
      </c>
      <c r="F18" s="351">
        <f>+'Notas Estado de Resultados'!J140</f>
        <v>29367212.619999994</v>
      </c>
      <c r="G18" s="351">
        <v>27236509.94</v>
      </c>
      <c r="H18" s="351">
        <v>22049692.33</v>
      </c>
      <c r="I18" s="367"/>
      <c r="K18" s="336"/>
      <c r="L18" s="227"/>
      <c r="M18" s="228"/>
      <c r="O18" s="247"/>
    </row>
    <row r="19" spans="1:13" ht="14.25">
      <c r="A19" s="343"/>
      <c r="B19" s="343" t="s">
        <v>719</v>
      </c>
      <c r="C19" s="343"/>
      <c r="D19" s="343"/>
      <c r="E19" s="643">
        <f>+'Notas Estado de Resultados'!H275</f>
        <v>17397070.5</v>
      </c>
      <c r="F19" s="351">
        <f>+'Notas Estado de Resultados'!J275</f>
        <v>15997928.38</v>
      </c>
      <c r="G19" s="351">
        <v>15731967.88</v>
      </c>
      <c r="H19" s="351">
        <v>17522395.13</v>
      </c>
      <c r="I19" s="367"/>
      <c r="K19" s="339"/>
      <c r="L19" s="227"/>
      <c r="M19" s="335"/>
    </row>
    <row r="20" spans="1:12" ht="14.25" hidden="1">
      <c r="A20" s="343"/>
      <c r="B20" s="343" t="s">
        <v>720</v>
      </c>
      <c r="C20" s="343"/>
      <c r="D20" s="343"/>
      <c r="E20" s="643"/>
      <c r="F20" s="351"/>
      <c r="G20" s="351"/>
      <c r="H20" s="351">
        <v>0</v>
      </c>
      <c r="I20" s="367"/>
      <c r="L20" s="227"/>
    </row>
    <row r="21" spans="1:15" ht="14.25">
      <c r="A21" s="343"/>
      <c r="B21" s="241" t="s">
        <v>721</v>
      </c>
      <c r="C21" s="343"/>
      <c r="D21" s="343"/>
      <c r="E21" s="643">
        <f>+'Notas Estado de Resultados'!H366</f>
        <v>78330323.02999999</v>
      </c>
      <c r="F21" s="466">
        <f>+'Notas Estado de Resultados'!J366</f>
        <v>55577947.61000001</v>
      </c>
      <c r="G21" s="466">
        <v>64390613.62</v>
      </c>
      <c r="H21" s="359">
        <v>55752390.46</v>
      </c>
      <c r="I21" s="367"/>
      <c r="K21" s="227"/>
      <c r="L21" s="227"/>
      <c r="M21" s="228"/>
      <c r="O21" s="247"/>
    </row>
    <row r="22" spans="1:12" ht="14.25">
      <c r="A22" s="343"/>
      <c r="B22" s="343" t="s">
        <v>722</v>
      </c>
      <c r="C22" s="343"/>
      <c r="D22" s="343"/>
      <c r="E22" s="644">
        <f>+'Notas Estado de Resultados'!H388</f>
        <v>11394799.85</v>
      </c>
      <c r="F22" s="467">
        <f>+'Notas Estado de Resultados'!J388</f>
        <v>10396804.74</v>
      </c>
      <c r="G22" s="467"/>
      <c r="H22" s="366">
        <v>0</v>
      </c>
      <c r="I22" s="367"/>
      <c r="L22" s="227" t="e">
        <f>+H22+#REF!</f>
        <v>#REF!</v>
      </c>
    </row>
    <row r="23" spans="1:13" ht="14.25">
      <c r="A23" s="362" t="s">
        <v>807</v>
      </c>
      <c r="B23" s="343"/>
      <c r="C23" s="343"/>
      <c r="D23" s="343"/>
      <c r="E23" s="368">
        <f>SUM(E16:E22)</f>
        <v>574065445.17</v>
      </c>
      <c r="F23" s="368">
        <f>SUM(F16:F22)</f>
        <v>516971090.21999997</v>
      </c>
      <c r="G23" s="368">
        <f>SUM(G16:G21)</f>
        <v>456979379.80999994</v>
      </c>
      <c r="H23" s="368">
        <f>SUM(H16:H22)</f>
        <v>376806437.3899999</v>
      </c>
      <c r="I23" s="367"/>
      <c r="L23" s="227" t="e">
        <f>+H23+#REF!</f>
        <v>#REF!</v>
      </c>
      <c r="M23" s="227"/>
    </row>
    <row r="24" spans="1:14" ht="14.25">
      <c r="A24" s="369"/>
      <c r="B24" s="343"/>
      <c r="C24" s="343"/>
      <c r="D24" s="343"/>
      <c r="E24" s="343"/>
      <c r="F24" s="343"/>
      <c r="G24" s="343"/>
      <c r="H24" s="366"/>
      <c r="I24" s="366"/>
      <c r="L24" s="227" t="e">
        <f>+H24+#REF!</f>
        <v>#REF!</v>
      </c>
      <c r="N24" s="634"/>
    </row>
    <row r="25" spans="1:12" ht="14.25">
      <c r="A25" s="343"/>
      <c r="B25" s="343" t="s">
        <v>723</v>
      </c>
      <c r="C25" s="343"/>
      <c r="D25" s="343"/>
      <c r="E25" s="365">
        <f>+'Notas Estado de Resultados'!H390</f>
        <v>57731.24</v>
      </c>
      <c r="F25" s="466">
        <v>103576.29</v>
      </c>
      <c r="G25" s="343"/>
      <c r="H25" s="366">
        <v>0</v>
      </c>
      <c r="I25" s="367"/>
      <c r="L25" s="227" t="e">
        <f>+H25+#REF!</f>
        <v>#REF!</v>
      </c>
    </row>
    <row r="26" spans="1:12" ht="14.25">
      <c r="A26" s="343"/>
      <c r="B26" s="343"/>
      <c r="C26" s="343"/>
      <c r="D26" s="343"/>
      <c r="E26" s="343"/>
      <c r="F26" s="343"/>
      <c r="G26" s="343"/>
      <c r="H26" s="366"/>
      <c r="I26" s="367"/>
      <c r="L26" s="227" t="e">
        <f>+H26+#REF!</f>
        <v>#REF!</v>
      </c>
    </row>
    <row r="27" spans="1:12" ht="14.25">
      <c r="A27" s="343"/>
      <c r="B27" s="343" t="s">
        <v>724</v>
      </c>
      <c r="C27" s="343"/>
      <c r="D27" s="343"/>
      <c r="E27" s="343"/>
      <c r="F27" s="343"/>
      <c r="G27" s="343"/>
      <c r="H27" s="366">
        <v>0</v>
      </c>
      <c r="I27" s="367"/>
      <c r="L27" s="227" t="e">
        <f>+H27+#REF!</f>
        <v>#REF!</v>
      </c>
    </row>
    <row r="28" spans="1:13" ht="14.25">
      <c r="A28" s="343"/>
      <c r="B28" s="343"/>
      <c r="C28" s="343"/>
      <c r="D28" s="343"/>
      <c r="E28" s="343"/>
      <c r="F28" s="372"/>
      <c r="G28" s="372"/>
      <c r="H28" s="371"/>
      <c r="I28" s="367"/>
      <c r="M28" s="227"/>
    </row>
    <row r="29" spans="1:12" ht="15" thickBot="1">
      <c r="A29" s="362" t="s">
        <v>805</v>
      </c>
      <c r="B29" s="343"/>
      <c r="C29" s="343"/>
      <c r="D29" s="343"/>
      <c r="E29" s="373">
        <f>+E13-E23-E25</f>
        <v>-5241806.149999967</v>
      </c>
      <c r="F29" s="373">
        <f>+F13-F23-F25</f>
        <v>17621076.810000084</v>
      </c>
      <c r="G29" s="373">
        <f>+G13-G23</f>
        <v>70904915.10000008</v>
      </c>
      <c r="H29" s="373">
        <f>+H13-H23+H25+H27</f>
        <v>52128331.360000074</v>
      </c>
      <c r="I29" s="367"/>
      <c r="L29" s="227" t="e">
        <f>+H29+#REF!</f>
        <v>#REF!</v>
      </c>
    </row>
    <row r="30" spans="1:9" ht="15" thickTop="1">
      <c r="A30" s="362"/>
      <c r="B30" s="343"/>
      <c r="C30" s="343"/>
      <c r="D30" s="343"/>
      <c r="E30" s="343"/>
      <c r="F30" s="343"/>
      <c r="G30" s="343"/>
      <c r="H30" s="366"/>
      <c r="I30" s="366"/>
    </row>
    <row r="31" spans="1:12" ht="14.25">
      <c r="A31" s="369"/>
      <c r="B31" s="343"/>
      <c r="C31" s="343"/>
      <c r="D31" s="343"/>
      <c r="E31" s="343"/>
      <c r="F31" s="343"/>
      <c r="G31" s="343"/>
      <c r="H31" s="366"/>
      <c r="I31" s="366"/>
      <c r="L31" s="227" t="e">
        <f>+H31+#REF!</f>
        <v>#REF!</v>
      </c>
    </row>
    <row r="32" spans="1:12" ht="14.25">
      <c r="A32" s="362"/>
      <c r="B32" s="343"/>
      <c r="C32" s="343"/>
      <c r="D32" s="343"/>
      <c r="E32" s="343"/>
      <c r="F32" s="343"/>
      <c r="G32" s="343"/>
      <c r="H32" s="366">
        <v>0</v>
      </c>
      <c r="I32" s="367"/>
      <c r="L32" s="227" t="e">
        <f>+H32+#REF!</f>
        <v>#REF!</v>
      </c>
    </row>
    <row r="33" spans="1:12" ht="14.25">
      <c r="A33" s="343"/>
      <c r="B33" s="343"/>
      <c r="C33" s="343"/>
      <c r="D33" s="343"/>
      <c r="E33" s="343"/>
      <c r="F33" s="343"/>
      <c r="G33" s="343"/>
      <c r="H33" s="366">
        <v>0</v>
      </c>
      <c r="I33" s="367"/>
      <c r="L33" s="227" t="e">
        <f>+H33+#REF!</f>
        <v>#REF!</v>
      </c>
    </row>
    <row r="34" spans="1:12" ht="14.25">
      <c r="A34" s="362"/>
      <c r="B34" s="343"/>
      <c r="C34" s="343"/>
      <c r="D34" s="343"/>
      <c r="E34" s="343"/>
      <c r="F34" s="343"/>
      <c r="G34" s="343"/>
      <c r="H34" s="368">
        <f>SUM(H32:H33)</f>
        <v>0</v>
      </c>
      <c r="I34" s="370"/>
      <c r="L34" s="227" t="e">
        <f>+H34+#REF!</f>
        <v>#REF!</v>
      </c>
    </row>
    <row r="35" spans="1:9" ht="14.25">
      <c r="A35" s="362"/>
      <c r="B35" s="343"/>
      <c r="C35" s="343"/>
      <c r="D35" s="343"/>
      <c r="E35" s="343"/>
      <c r="F35" s="343"/>
      <c r="G35" s="343"/>
      <c r="H35" s="366"/>
      <c r="I35" s="366"/>
    </row>
    <row r="36" spans="1:9" ht="14.25">
      <c r="A36" s="343"/>
      <c r="B36" s="343"/>
      <c r="C36" s="343"/>
      <c r="D36" s="343"/>
      <c r="E36" s="343"/>
      <c r="F36" s="343"/>
      <c r="G36" s="343"/>
      <c r="H36" s="366"/>
      <c r="I36" s="366"/>
    </row>
    <row r="37" spans="1:9" ht="14.25">
      <c r="A37" s="809" t="s">
        <v>1066</v>
      </c>
      <c r="B37" s="809"/>
      <c r="C37" s="809"/>
      <c r="D37" s="809"/>
      <c r="E37" s="809"/>
      <c r="F37" s="809"/>
      <c r="G37" s="809"/>
      <c r="H37" s="809"/>
      <c r="I37" s="809"/>
    </row>
    <row r="38" spans="1:7" ht="14.25">
      <c r="A38" s="805"/>
      <c r="B38" s="805"/>
      <c r="C38" s="805"/>
      <c r="D38" s="805"/>
      <c r="E38" s="805"/>
      <c r="F38" s="805"/>
      <c r="G38" s="805"/>
    </row>
    <row r="40" spans="8:9" ht="14.25">
      <c r="H40" s="227"/>
      <c r="I40" s="227"/>
    </row>
    <row r="41" spans="4:7" ht="14.25">
      <c r="D41" s="233"/>
      <c r="E41" s="233"/>
      <c r="F41" s="233"/>
      <c r="G41" s="233"/>
    </row>
    <row r="42" ht="15"/>
    <row r="43" spans="2:6" ht="15">
      <c r="B43" s="225" t="s">
        <v>725</v>
      </c>
      <c r="D43" s="233"/>
      <c r="E43" s="233"/>
      <c r="F43" s="233"/>
    </row>
    <row r="44" spans="4:6" ht="14.25">
      <c r="D44" s="233"/>
      <c r="E44" s="233"/>
      <c r="F44" s="233"/>
    </row>
    <row r="45" spans="4:6" ht="14.25">
      <c r="D45" s="233"/>
      <c r="E45" s="233"/>
      <c r="F45" s="233"/>
    </row>
    <row r="47" spans="4:6" ht="15">
      <c r="D47" s="233"/>
      <c r="E47" s="233"/>
      <c r="F47" s="233"/>
    </row>
    <row r="48" ht="15"/>
    <row r="49" spans="1:6" ht="18">
      <c r="A49" s="77" t="s">
        <v>710</v>
      </c>
      <c r="B49" s="245"/>
      <c r="D49" s="246" t="s">
        <v>711</v>
      </c>
      <c r="E49" s="246"/>
      <c r="F49" s="246"/>
    </row>
  </sheetData>
  <sheetProtection/>
  <mergeCells count="6">
    <mergeCell ref="A1:I1"/>
    <mergeCell ref="A2:I2"/>
    <mergeCell ref="A3:I3"/>
    <mergeCell ref="A4:I4"/>
    <mergeCell ref="A37:I37"/>
    <mergeCell ref="A38:G38"/>
  </mergeCells>
  <printOptions/>
  <pageMargins left="1.4" right="0.7" top="0.75" bottom="0.75" header="0.3" footer="0.3"/>
  <pageSetup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dimension ref="A2:P42"/>
  <sheetViews>
    <sheetView showGridLines="0" zoomScalePageLayoutView="0" workbookViewId="0" topLeftCell="A1">
      <selection activeCell="G20" sqref="G20"/>
    </sheetView>
  </sheetViews>
  <sheetFormatPr defaultColWidth="11.421875" defaultRowHeight="15"/>
  <cols>
    <col min="1" max="1" width="3.7109375" style="225" customWidth="1"/>
    <col min="2" max="2" width="1.28515625" style="225" customWidth="1"/>
    <col min="3" max="3" width="36.140625" style="225" customWidth="1"/>
    <col min="4" max="4" width="1.7109375" style="225" customWidth="1"/>
    <col min="5" max="5" width="17.57421875" style="229" customWidth="1"/>
    <col min="6" max="6" width="1.7109375" style="229" customWidth="1"/>
    <col min="7" max="7" width="14.7109375" style="229" customWidth="1"/>
    <col min="8" max="8" width="1.7109375" style="229" customWidth="1"/>
    <col min="9" max="9" width="14.421875" style="229" customWidth="1"/>
    <col min="10" max="10" width="1.7109375" style="229" customWidth="1"/>
    <col min="11" max="11" width="16.421875" style="225" customWidth="1"/>
    <col min="12" max="12" width="1.7109375" style="225" customWidth="1"/>
    <col min="13" max="13" width="19.140625" style="225" customWidth="1"/>
    <col min="14" max="14" width="3.7109375" style="225" customWidth="1"/>
    <col min="15" max="15" width="17.421875" style="225" customWidth="1"/>
    <col min="16" max="16" width="17.00390625" style="226" customWidth="1"/>
    <col min="17" max="16384" width="11.421875" style="226" customWidth="1"/>
  </cols>
  <sheetData>
    <row r="2" spans="2:13" ht="15">
      <c r="B2" s="803" t="str">
        <f>+'[5]ESF - Situación Financiera'!A1</f>
        <v>OFICINA NACIONAL DE LA PROPIEDAD INDUSTRIAL(ONAPI)</v>
      </c>
      <c r="C2" s="803"/>
      <c r="D2" s="803"/>
      <c r="E2" s="803"/>
      <c r="F2" s="803"/>
      <c r="G2" s="803"/>
      <c r="H2" s="803"/>
      <c r="I2" s="803"/>
      <c r="J2" s="803"/>
      <c r="K2" s="803"/>
      <c r="L2" s="803"/>
      <c r="M2" s="803"/>
    </row>
    <row r="3" spans="2:13" ht="15">
      <c r="B3" s="803" t="s">
        <v>726</v>
      </c>
      <c r="C3" s="803"/>
      <c r="D3" s="803"/>
      <c r="E3" s="803"/>
      <c r="F3" s="803"/>
      <c r="G3" s="803"/>
      <c r="H3" s="803"/>
      <c r="I3" s="803"/>
      <c r="J3" s="803"/>
      <c r="K3" s="803"/>
      <c r="L3" s="803"/>
      <c r="M3" s="803"/>
    </row>
    <row r="4" spans="2:13" ht="15">
      <c r="B4" s="804" t="s">
        <v>1043</v>
      </c>
      <c r="C4" s="804"/>
      <c r="D4" s="804"/>
      <c r="E4" s="804"/>
      <c r="F4" s="804"/>
      <c r="G4" s="804"/>
      <c r="H4" s="804"/>
      <c r="I4" s="804"/>
      <c r="J4" s="804"/>
      <c r="K4" s="804"/>
      <c r="L4" s="804"/>
      <c r="M4" s="804"/>
    </row>
    <row r="5" spans="2:13" ht="15">
      <c r="B5" s="803" t="s">
        <v>684</v>
      </c>
      <c r="C5" s="803"/>
      <c r="D5" s="803"/>
      <c r="E5" s="803"/>
      <c r="F5" s="803"/>
      <c r="G5" s="803"/>
      <c r="H5" s="803"/>
      <c r="I5" s="803"/>
      <c r="J5" s="803"/>
      <c r="K5" s="803"/>
      <c r="L5" s="803"/>
      <c r="M5" s="803"/>
    </row>
    <row r="6" spans="2:13" ht="14.25">
      <c r="B6" s="343"/>
      <c r="C6" s="344"/>
      <c r="D6" s="344"/>
      <c r="E6" s="375"/>
      <c r="F6" s="375"/>
      <c r="G6" s="375"/>
      <c r="H6" s="376"/>
      <c r="I6" s="375"/>
      <c r="J6" s="375"/>
      <c r="K6" s="343"/>
      <c r="L6" s="344"/>
      <c r="M6" s="343"/>
    </row>
    <row r="7" spans="2:13" ht="41.25">
      <c r="B7" s="343"/>
      <c r="C7" s="380"/>
      <c r="D7" s="380"/>
      <c r="E7" s="418" t="s">
        <v>727</v>
      </c>
      <c r="F7" s="419"/>
      <c r="G7" s="418" t="s">
        <v>728</v>
      </c>
      <c r="H7" s="420"/>
      <c r="I7" s="418" t="s">
        <v>729</v>
      </c>
      <c r="J7" s="419"/>
      <c r="K7" s="418" t="s">
        <v>730</v>
      </c>
      <c r="L7" s="419"/>
      <c r="M7" s="418" t="s">
        <v>731</v>
      </c>
    </row>
    <row r="8" spans="2:14" ht="14.25">
      <c r="B8" s="343"/>
      <c r="C8" s="380" t="s">
        <v>844</v>
      </c>
      <c r="D8" s="343"/>
      <c r="E8" s="480">
        <v>113148476</v>
      </c>
      <c r="F8" s="481"/>
      <c r="G8" s="480"/>
      <c r="H8" s="482"/>
      <c r="I8" s="480"/>
      <c r="J8" s="481"/>
      <c r="K8" s="482">
        <v>322426880</v>
      </c>
      <c r="L8" s="482"/>
      <c r="M8" s="482">
        <f>SUM(E8,G8,I8,K8)</f>
        <v>435575356</v>
      </c>
      <c r="N8" s="227"/>
    </row>
    <row r="9" spans="1:15" s="4" customFormat="1" ht="14.25">
      <c r="A9" s="229"/>
      <c r="B9" s="375"/>
      <c r="C9" s="343" t="s">
        <v>732</v>
      </c>
      <c r="D9" s="343"/>
      <c r="E9" s="480"/>
      <c r="F9" s="481"/>
      <c r="G9" s="480"/>
      <c r="H9" s="482"/>
      <c r="I9" s="480"/>
      <c r="J9" s="481"/>
      <c r="K9" s="480"/>
      <c r="L9" s="482"/>
      <c r="M9" s="480"/>
      <c r="N9" s="229"/>
      <c r="O9" s="229"/>
    </row>
    <row r="10" spans="1:15" s="4" customFormat="1" ht="14.25">
      <c r="A10" s="229"/>
      <c r="B10" s="375"/>
      <c r="C10" s="343" t="s">
        <v>733</v>
      </c>
      <c r="D10" s="343"/>
      <c r="E10" s="480"/>
      <c r="F10" s="481"/>
      <c r="G10" s="480"/>
      <c r="H10" s="482"/>
      <c r="I10" s="480"/>
      <c r="J10" s="481"/>
      <c r="K10" s="480"/>
      <c r="L10" s="482"/>
      <c r="M10" s="480"/>
      <c r="N10" s="229"/>
      <c r="O10" s="229"/>
    </row>
    <row r="11" spans="2:15" ht="14.25">
      <c r="B11" s="343"/>
      <c r="C11" s="343" t="s">
        <v>734</v>
      </c>
      <c r="D11" s="343"/>
      <c r="E11" s="482"/>
      <c r="F11" s="481"/>
      <c r="G11" s="480"/>
      <c r="H11" s="482"/>
      <c r="I11" s="480"/>
      <c r="J11" s="481"/>
      <c r="K11" s="572">
        <f>-38336.33+71</f>
        <v>-38265.33</v>
      </c>
      <c r="L11" s="572"/>
      <c r="M11" s="572">
        <f>SUM(E11,G11,I11,K11)</f>
        <v>-38265.33</v>
      </c>
      <c r="O11" s="227"/>
    </row>
    <row r="12" spans="2:15" ht="14.25">
      <c r="B12" s="343"/>
      <c r="C12" s="343" t="s">
        <v>735</v>
      </c>
      <c r="D12" s="343"/>
      <c r="E12" s="483"/>
      <c r="F12" s="481"/>
      <c r="G12" s="483"/>
      <c r="H12" s="482"/>
      <c r="I12" s="483"/>
      <c r="J12" s="481"/>
      <c r="K12" s="484">
        <v>17621076.810000084</v>
      </c>
      <c r="L12" s="482"/>
      <c r="M12" s="484">
        <f>SUM(E12,G12,I12,K12)</f>
        <v>17621076.810000084</v>
      </c>
      <c r="O12" s="227"/>
    </row>
    <row r="13" spans="2:16" ht="15" thickBot="1">
      <c r="B13" s="343"/>
      <c r="C13" s="380" t="s">
        <v>845</v>
      </c>
      <c r="D13" s="343"/>
      <c r="E13" s="485">
        <f>SUM(E8:E12)</f>
        <v>113148476</v>
      </c>
      <c r="F13" s="486"/>
      <c r="G13" s="790">
        <f>SUM(G8:G12)</f>
        <v>0</v>
      </c>
      <c r="H13" s="487"/>
      <c r="I13" s="790">
        <f>SUM(I8:I12)</f>
        <v>0</v>
      </c>
      <c r="J13" s="486"/>
      <c r="K13" s="487">
        <f>SUM(K8:K12)</f>
        <v>340009691.4800001</v>
      </c>
      <c r="L13" s="487"/>
      <c r="M13" s="487">
        <f>SUM(M8:M12)</f>
        <v>453158167.4800001</v>
      </c>
      <c r="P13" s="244"/>
    </row>
    <row r="14" spans="2:16" ht="15" thickTop="1">
      <c r="B14" s="343"/>
      <c r="C14" s="421" t="s">
        <v>1042</v>
      </c>
      <c r="D14" s="241"/>
      <c r="E14" s="480">
        <v>113148476</v>
      </c>
      <c r="F14" s="488"/>
      <c r="G14" s="488"/>
      <c r="H14" s="482"/>
      <c r="I14" s="488"/>
      <c r="J14" s="488"/>
      <c r="K14" s="482">
        <f>+K13</f>
        <v>340009691.4800001</v>
      </c>
      <c r="L14" s="482"/>
      <c r="M14" s="482">
        <f>SUM(E14:L14)</f>
        <v>453158167.4800001</v>
      </c>
      <c r="P14" s="399"/>
    </row>
    <row r="15" spans="1:16" s="4" customFormat="1" ht="14.25">
      <c r="A15" s="229"/>
      <c r="B15" s="375"/>
      <c r="C15" s="378" t="s">
        <v>732</v>
      </c>
      <c r="D15" s="343"/>
      <c r="E15" s="489"/>
      <c r="F15" s="490"/>
      <c r="G15" s="489"/>
      <c r="H15" s="491"/>
      <c r="I15" s="489"/>
      <c r="J15" s="490"/>
      <c r="K15" s="489"/>
      <c r="L15" s="491"/>
      <c r="M15" s="489"/>
      <c r="N15" s="229"/>
      <c r="O15" s="229"/>
      <c r="P15" s="400">
        <f>P13-P14</f>
        <v>0</v>
      </c>
    </row>
    <row r="16" spans="1:15" s="4" customFormat="1" ht="14.25">
      <c r="A16" s="229"/>
      <c r="B16" s="375"/>
      <c r="C16" s="378" t="s">
        <v>733</v>
      </c>
      <c r="D16" s="343"/>
      <c r="E16" s="489"/>
      <c r="F16" s="490"/>
      <c r="G16" s="489"/>
      <c r="H16" s="491"/>
      <c r="I16" s="489"/>
      <c r="J16" s="490"/>
      <c r="K16" s="489"/>
      <c r="L16" s="491"/>
      <c r="M16" s="489"/>
      <c r="N16" s="229"/>
      <c r="O16" s="229"/>
    </row>
    <row r="17" spans="1:15" s="4" customFormat="1" ht="27.75">
      <c r="A17" s="229"/>
      <c r="B17" s="375"/>
      <c r="C17" s="379" t="s">
        <v>736</v>
      </c>
      <c r="D17" s="343"/>
      <c r="E17" s="489"/>
      <c r="F17" s="490"/>
      <c r="G17" s="489"/>
      <c r="H17" s="491"/>
      <c r="I17" s="489"/>
      <c r="J17" s="490"/>
      <c r="K17" s="489"/>
      <c r="L17" s="491"/>
      <c r="M17" s="489"/>
      <c r="N17" s="229"/>
      <c r="O17" s="229"/>
    </row>
    <row r="18" spans="2:13" ht="14.25">
      <c r="B18" s="343"/>
      <c r="C18" s="378" t="s">
        <v>734</v>
      </c>
      <c r="D18" s="343"/>
      <c r="E18" s="489"/>
      <c r="F18" s="490"/>
      <c r="G18" s="489"/>
      <c r="H18" s="491"/>
      <c r="I18" s="489"/>
      <c r="J18" s="490"/>
      <c r="K18" s="491">
        <v>63921.18</v>
      </c>
      <c r="L18" s="491"/>
      <c r="M18" s="491">
        <f>SUM(E18,G18,I18,K18)</f>
        <v>63921.18</v>
      </c>
    </row>
    <row r="19" spans="2:13" ht="14.25">
      <c r="B19" s="343"/>
      <c r="C19" s="378" t="s">
        <v>735</v>
      </c>
      <c r="D19" s="343"/>
      <c r="E19" s="492"/>
      <c r="F19" s="490"/>
      <c r="G19" s="492"/>
      <c r="H19" s="491"/>
      <c r="I19" s="492"/>
      <c r="J19" s="490"/>
      <c r="K19" s="573">
        <f>+'Estado de Situación Financiera '!D50</f>
        <v>-5241806.149999967</v>
      </c>
      <c r="L19" s="491"/>
      <c r="M19" s="573">
        <f>SUM(E19,G19,I19,K19)</f>
        <v>-5241806.149999967</v>
      </c>
    </row>
    <row r="20" spans="2:16" ht="15" thickBot="1">
      <c r="B20" s="362"/>
      <c r="C20" s="380" t="s">
        <v>1044</v>
      </c>
      <c r="D20" s="343"/>
      <c r="E20" s="487">
        <f>SUM(E14:E19)</f>
        <v>113148476</v>
      </c>
      <c r="F20" s="493"/>
      <c r="G20" s="790">
        <f>SUM(G19,G13)</f>
        <v>0</v>
      </c>
      <c r="H20" s="494"/>
      <c r="I20" s="790">
        <f>SUM(I19,I13)</f>
        <v>0</v>
      </c>
      <c r="J20" s="493"/>
      <c r="K20" s="487">
        <f>SUM(K14:K19)</f>
        <v>334831806.5100001</v>
      </c>
      <c r="L20" s="495"/>
      <c r="M20" s="487">
        <f>SUM(M14:M19)</f>
        <v>447980282.5100001</v>
      </c>
      <c r="P20" s="627"/>
    </row>
    <row r="21" spans="2:15" ht="15" thickTop="1">
      <c r="B21" s="362"/>
      <c r="C21" s="343"/>
      <c r="D21" s="343"/>
      <c r="E21" s="496"/>
      <c r="F21" s="496"/>
      <c r="G21" s="496"/>
      <c r="H21" s="496"/>
      <c r="I21" s="496"/>
      <c r="J21" s="496"/>
      <c r="K21" s="491"/>
      <c r="L21" s="491"/>
      <c r="M21" s="791"/>
      <c r="O21" s="366"/>
    </row>
    <row r="22" spans="2:15" ht="14.25">
      <c r="B22" s="362"/>
      <c r="C22" s="343"/>
      <c r="D22" s="343"/>
      <c r="E22" s="377"/>
      <c r="F22" s="377"/>
      <c r="G22" s="377"/>
      <c r="H22" s="377"/>
      <c r="I22" s="377"/>
      <c r="J22" s="377"/>
      <c r="K22" s="366"/>
      <c r="L22" s="366"/>
      <c r="M22" s="792"/>
      <c r="O22" s="366"/>
    </row>
    <row r="23" spans="2:15" ht="14.25">
      <c r="B23" s="343"/>
      <c r="C23" s="226"/>
      <c r="D23" s="226"/>
      <c r="E23" s="226"/>
      <c r="F23" s="226"/>
      <c r="G23" s="226"/>
      <c r="H23" s="226"/>
      <c r="I23" s="226"/>
      <c r="J23" s="375"/>
      <c r="K23" s="366"/>
      <c r="L23" s="343"/>
      <c r="M23" s="343"/>
      <c r="O23" s="366"/>
    </row>
    <row r="24" spans="2:15" ht="14.25">
      <c r="B24" s="343"/>
      <c r="C24" s="343"/>
      <c r="D24" s="343"/>
      <c r="E24" s="343"/>
      <c r="F24" s="343"/>
      <c r="G24" s="343"/>
      <c r="H24" s="343"/>
      <c r="I24" s="343"/>
      <c r="J24" s="343"/>
      <c r="K24" s="343"/>
      <c r="L24" s="343"/>
      <c r="M24" s="343"/>
      <c r="O24" s="366"/>
    </row>
    <row r="25" spans="3:15" ht="14.25">
      <c r="C25" s="241" t="s">
        <v>1046</v>
      </c>
      <c r="D25" s="421"/>
      <c r="E25" s="421"/>
      <c r="F25" s="421"/>
      <c r="G25" s="421"/>
      <c r="H25" s="380"/>
      <c r="I25" s="380"/>
      <c r="K25" s="227"/>
      <c r="L25" s="232"/>
      <c r="O25" s="366"/>
    </row>
    <row r="26" spans="3:15" ht="14.25">
      <c r="C26" s="343" t="s">
        <v>1047</v>
      </c>
      <c r="D26" s="380"/>
      <c r="E26" s="380"/>
      <c r="F26" s="380"/>
      <c r="G26" s="380"/>
      <c r="H26" s="380"/>
      <c r="I26" s="380"/>
      <c r="K26" s="227"/>
      <c r="L26" s="232"/>
      <c r="O26" s="366"/>
    </row>
    <row r="27" spans="3:15" ht="14.25">
      <c r="C27" s="343" t="s">
        <v>1048</v>
      </c>
      <c r="D27" s="380"/>
      <c r="E27" s="380"/>
      <c r="F27" s="380"/>
      <c r="G27" s="380"/>
      <c r="H27" s="380"/>
      <c r="I27" s="380"/>
      <c r="K27" s="227"/>
      <c r="L27" s="232"/>
      <c r="O27" s="366"/>
    </row>
    <row r="28" spans="3:15" ht="14.25">
      <c r="C28" s="343" t="s">
        <v>1049</v>
      </c>
      <c r="K28" s="227"/>
      <c r="O28" s="366"/>
    </row>
    <row r="29" spans="3:11" ht="14.25">
      <c r="C29" s="380"/>
      <c r="K29" s="227"/>
    </row>
    <row r="30" spans="3:11" ht="14.25">
      <c r="C30" s="380"/>
      <c r="K30" s="227"/>
    </row>
    <row r="31" spans="3:11" ht="14.25">
      <c r="C31" s="805" t="s">
        <v>1045</v>
      </c>
      <c r="D31" s="805"/>
      <c r="E31" s="805"/>
      <c r="F31" s="805"/>
      <c r="G31" s="805"/>
      <c r="H31" s="805"/>
      <c r="I31" s="805"/>
      <c r="K31" s="227"/>
    </row>
    <row r="32" spans="3:11" ht="14.25">
      <c r="C32" s="335"/>
      <c r="E32" s="231"/>
      <c r="F32" s="231"/>
      <c r="G32" s="231"/>
      <c r="H32" s="231"/>
      <c r="I32" s="231"/>
      <c r="K32" s="227"/>
    </row>
    <row r="33" spans="3:11" ht="14.25">
      <c r="C33" s="335"/>
      <c r="E33" s="231"/>
      <c r="F33" s="231"/>
      <c r="G33" s="231"/>
      <c r="H33" s="231"/>
      <c r="I33" s="231"/>
      <c r="K33" s="227"/>
    </row>
    <row r="34" spans="3:11" ht="14.25">
      <c r="C34" s="335"/>
      <c r="E34" s="231"/>
      <c r="F34" s="231"/>
      <c r="G34" s="231"/>
      <c r="H34" s="231"/>
      <c r="I34" s="231"/>
      <c r="K34" s="227"/>
    </row>
    <row r="35" spans="3:11" ht="15">
      <c r="C35" s="335"/>
      <c r="K35" s="227"/>
    </row>
    <row r="36" spans="5:11" ht="14.25">
      <c r="E36" s="248" t="s">
        <v>784</v>
      </c>
      <c r="K36" s="227"/>
    </row>
    <row r="40" ht="15"/>
    <row r="41" ht="15"/>
    <row r="42" spans="3:11" ht="14.25">
      <c r="C42" s="225" t="s">
        <v>737</v>
      </c>
      <c r="K42" s="225" t="s">
        <v>738</v>
      </c>
    </row>
  </sheetData>
  <sheetProtection/>
  <mergeCells count="5">
    <mergeCell ref="B2:M2"/>
    <mergeCell ref="B3:M3"/>
    <mergeCell ref="B4:M4"/>
    <mergeCell ref="B5:M5"/>
    <mergeCell ref="C31:I31"/>
  </mergeCells>
  <printOptions/>
  <pageMargins left="1.77" right="0.36" top="0.7480314960629921" bottom="0.7480314960629921" header="0.31496062992125984" footer="0.31496062992125984"/>
  <pageSetup horizontalDpi="600" verticalDpi="600" orientation="landscape" scale="68" r:id="rId2"/>
  <drawing r:id="rId1"/>
</worksheet>
</file>

<file path=xl/worksheets/sheet4.xml><?xml version="1.0" encoding="utf-8"?>
<worksheet xmlns="http://schemas.openxmlformats.org/spreadsheetml/2006/main" xmlns:r="http://schemas.openxmlformats.org/officeDocument/2006/relationships">
  <dimension ref="A1:O78"/>
  <sheetViews>
    <sheetView showGridLines="0" zoomScalePageLayoutView="0" workbookViewId="0" topLeftCell="A55">
      <selection activeCell="B69" sqref="B69"/>
    </sheetView>
  </sheetViews>
  <sheetFormatPr defaultColWidth="11.421875" defaultRowHeight="15"/>
  <cols>
    <col min="1" max="1" width="11.421875" style="4" customWidth="1"/>
    <col min="2" max="2" width="53.00390625" style="4" customWidth="1"/>
    <col min="3" max="3" width="11.421875" style="4" customWidth="1"/>
    <col min="4" max="4" width="16.7109375" style="455" customWidth="1"/>
    <col min="5" max="5" width="24.00390625" style="4" customWidth="1"/>
    <col min="6" max="6" width="33.421875" style="4" hidden="1" customWidth="1"/>
    <col min="7" max="7" width="27.57421875" style="4" hidden="1" customWidth="1"/>
    <col min="8" max="8" width="13.00390625" style="4" hidden="1" customWidth="1"/>
    <col min="9" max="9" width="24.28125" style="4" customWidth="1"/>
    <col min="10" max="10" width="12.00390625" style="4" bestFit="1" customWidth="1"/>
    <col min="11" max="11" width="16.140625" style="4" bestFit="1" customWidth="1"/>
    <col min="12" max="13" width="11.421875" style="4" customWidth="1"/>
    <col min="14" max="14" width="14.8515625" style="4" customWidth="1"/>
    <col min="15" max="16384" width="11.421875" style="4" customWidth="1"/>
  </cols>
  <sheetData>
    <row r="1" spans="1:13" ht="15">
      <c r="A1" s="803" t="str">
        <f>+'[6]ESF - Situación Financiera'!A1</f>
        <v>OFICINA NACIONAL DE LA PROPIEDAD INDUSTRIAL(ONAPI)</v>
      </c>
      <c r="B1" s="803"/>
      <c r="C1" s="803"/>
      <c r="D1" s="803"/>
      <c r="E1" s="803"/>
      <c r="F1" s="803"/>
      <c r="G1" s="803"/>
      <c r="H1" s="252"/>
      <c r="I1" s="253"/>
      <c r="J1" s="254"/>
      <c r="K1" s="254"/>
      <c r="L1" s="255"/>
      <c r="M1" s="226"/>
    </row>
    <row r="2" spans="1:13" ht="15">
      <c r="A2" s="803" t="s">
        <v>739</v>
      </c>
      <c r="B2" s="803"/>
      <c r="C2" s="803"/>
      <c r="D2" s="803"/>
      <c r="E2" s="803"/>
      <c r="F2" s="803"/>
      <c r="G2" s="803"/>
      <c r="H2" s="252"/>
      <c r="I2" s="253"/>
      <c r="J2" s="254"/>
      <c r="K2" s="254"/>
      <c r="L2" s="255"/>
      <c r="M2" s="226"/>
    </row>
    <row r="3" spans="1:13" ht="15">
      <c r="A3" s="803" t="s">
        <v>1050</v>
      </c>
      <c r="B3" s="803"/>
      <c r="C3" s="803"/>
      <c r="D3" s="803"/>
      <c r="E3" s="803"/>
      <c r="F3" s="803"/>
      <c r="G3" s="803"/>
      <c r="H3" s="252"/>
      <c r="I3" s="253"/>
      <c r="J3" s="256"/>
      <c r="K3" s="254"/>
      <c r="L3" s="255"/>
      <c r="M3" s="226"/>
    </row>
    <row r="4" spans="1:13" ht="15">
      <c r="A4" s="803" t="s">
        <v>684</v>
      </c>
      <c r="B4" s="803"/>
      <c r="C4" s="803"/>
      <c r="D4" s="803"/>
      <c r="E4" s="803"/>
      <c r="F4" s="803"/>
      <c r="G4" s="803"/>
      <c r="H4" s="252"/>
      <c r="I4" s="253"/>
      <c r="J4" s="256"/>
      <c r="K4" s="254"/>
      <c r="L4" s="255"/>
      <c r="M4" s="226"/>
    </row>
    <row r="5" spans="1:13" ht="14.25">
      <c r="A5" s="343"/>
      <c r="B5" s="344"/>
      <c r="C5" s="344"/>
      <c r="D5" s="344"/>
      <c r="E5" s="344"/>
      <c r="F5" s="366"/>
      <c r="G5" s="343" t="s">
        <v>597</v>
      </c>
      <c r="H5" s="257"/>
      <c r="I5" s="253"/>
      <c r="J5" s="254"/>
      <c r="K5" s="256"/>
      <c r="L5" s="255"/>
      <c r="M5" s="226"/>
    </row>
    <row r="6" spans="1:13" ht="14.25">
      <c r="A6" s="343"/>
      <c r="B6" s="343"/>
      <c r="C6" s="343"/>
      <c r="D6" s="381">
        <v>2023</v>
      </c>
      <c r="E6" s="381">
        <v>2022</v>
      </c>
      <c r="F6" s="381">
        <v>2021</v>
      </c>
      <c r="G6" s="381">
        <v>2020</v>
      </c>
      <c r="H6" s="258"/>
      <c r="I6" s="253"/>
      <c r="J6" s="254"/>
      <c r="K6" s="256"/>
      <c r="L6" s="255"/>
      <c r="M6" s="226"/>
    </row>
    <row r="7" spans="1:13" ht="14.25">
      <c r="A7" s="362" t="s">
        <v>740</v>
      </c>
      <c r="B7" s="363"/>
      <c r="C7" s="363"/>
      <c r="D7" s="363"/>
      <c r="E7" s="363"/>
      <c r="F7" s="364"/>
      <c r="G7" s="365"/>
      <c r="H7" s="259"/>
      <c r="I7" s="253"/>
      <c r="J7" s="254"/>
      <c r="K7" s="254"/>
      <c r="L7" s="255"/>
      <c r="M7" s="226"/>
    </row>
    <row r="8" spans="1:12" ht="15" customHeight="1">
      <c r="A8" s="375"/>
      <c r="B8" s="378" t="s">
        <v>741</v>
      </c>
      <c r="C8" s="343"/>
      <c r="D8" s="343"/>
      <c r="E8" s="343"/>
      <c r="F8" s="377">
        <v>0</v>
      </c>
      <c r="G8" s="377">
        <v>0</v>
      </c>
      <c r="H8" s="260"/>
      <c r="I8" s="261"/>
      <c r="J8" s="262"/>
      <c r="K8" s="262"/>
      <c r="L8" s="190"/>
    </row>
    <row r="9" spans="1:12" ht="15" customHeight="1">
      <c r="A9" s="375"/>
      <c r="B9" s="378" t="s">
        <v>742</v>
      </c>
      <c r="C9" s="343"/>
      <c r="D9" s="343"/>
      <c r="E9" s="343"/>
      <c r="F9" s="377">
        <v>0</v>
      </c>
      <c r="G9" s="377">
        <v>0</v>
      </c>
      <c r="H9" s="260"/>
      <c r="I9" s="261"/>
      <c r="J9" s="262"/>
      <c r="K9" s="262"/>
      <c r="L9" s="190"/>
    </row>
    <row r="10" spans="1:12" ht="15" customHeight="1">
      <c r="A10" s="375"/>
      <c r="B10" s="422" t="s">
        <v>743</v>
      </c>
      <c r="C10" s="241"/>
      <c r="D10" s="466">
        <v>509031145</v>
      </c>
      <c r="E10" s="366">
        <v>474452822.62</v>
      </c>
      <c r="F10" s="366">
        <v>462848538</v>
      </c>
      <c r="G10" s="377">
        <v>364743514</v>
      </c>
      <c r="H10" s="260"/>
      <c r="I10" s="261"/>
      <c r="J10" s="263"/>
      <c r="K10" s="264"/>
      <c r="L10" s="190"/>
    </row>
    <row r="11" spans="1:13" ht="15" customHeight="1">
      <c r="A11" s="343"/>
      <c r="B11" s="378" t="s">
        <v>744</v>
      </c>
      <c r="C11" s="343"/>
      <c r="D11" s="366">
        <v>59100260</v>
      </c>
      <c r="E11" s="366">
        <v>59100259.72</v>
      </c>
      <c r="F11" s="366">
        <v>64422589</v>
      </c>
      <c r="G11" s="366">
        <v>63323357</v>
      </c>
      <c r="H11" s="265"/>
      <c r="I11" s="253"/>
      <c r="J11" s="256"/>
      <c r="K11" s="266"/>
      <c r="L11" s="255"/>
      <c r="M11" s="226"/>
    </row>
    <row r="12" spans="1:12" ht="15" customHeight="1" hidden="1">
      <c r="A12" s="375"/>
      <c r="B12" s="378" t="s">
        <v>745</v>
      </c>
      <c r="C12" s="343"/>
      <c r="D12" s="366"/>
      <c r="E12" s="377"/>
      <c r="F12" s="377"/>
      <c r="G12" s="377"/>
      <c r="H12" s="260"/>
      <c r="I12" s="261"/>
      <c r="J12" s="263"/>
      <c r="K12" s="264"/>
      <c r="L12" s="267"/>
    </row>
    <row r="13" spans="1:12" ht="15" customHeight="1" hidden="1">
      <c r="A13" s="375"/>
      <c r="B13" s="378" t="s">
        <v>746</v>
      </c>
      <c r="C13" s="343"/>
      <c r="D13" s="366"/>
      <c r="E13" s="377"/>
      <c r="F13" s="377"/>
      <c r="G13" s="377"/>
      <c r="H13" s="260"/>
      <c r="I13" s="261"/>
      <c r="J13" s="262"/>
      <c r="K13" s="264"/>
      <c r="L13" s="190"/>
    </row>
    <row r="14" spans="1:12" ht="15" customHeight="1" hidden="1">
      <c r="A14" s="375"/>
      <c r="B14" s="378" t="s">
        <v>747</v>
      </c>
      <c r="C14" s="343"/>
      <c r="D14" s="366"/>
      <c r="E14" s="377"/>
      <c r="F14" s="377"/>
      <c r="G14" s="377"/>
      <c r="H14" s="260"/>
      <c r="I14" s="261"/>
      <c r="J14" s="262"/>
      <c r="K14" s="264"/>
      <c r="L14" s="190"/>
    </row>
    <row r="15" spans="1:12" ht="15" customHeight="1">
      <c r="A15" s="375"/>
      <c r="B15" s="422" t="s">
        <v>748</v>
      </c>
      <c r="C15" s="241"/>
      <c r="D15" s="466">
        <v>749965</v>
      </c>
      <c r="E15" s="366">
        <v>1142662</v>
      </c>
      <c r="F15" s="366">
        <v>613168</v>
      </c>
      <c r="G15" s="377">
        <v>867898</v>
      </c>
      <c r="H15" s="260"/>
      <c r="I15" s="261"/>
      <c r="J15" s="263"/>
      <c r="K15" s="264"/>
      <c r="L15" s="190"/>
    </row>
    <row r="16" spans="1:12" ht="15" customHeight="1" hidden="1">
      <c r="A16" s="375"/>
      <c r="B16" s="378"/>
      <c r="C16" s="343"/>
      <c r="D16" s="343"/>
      <c r="E16" s="377"/>
      <c r="F16" s="377"/>
      <c r="G16" s="377"/>
      <c r="H16" s="260"/>
      <c r="I16" s="261"/>
      <c r="J16" s="263"/>
      <c r="K16" s="264"/>
      <c r="L16" s="190"/>
    </row>
    <row r="17" spans="1:13" ht="15" customHeight="1">
      <c r="A17" s="343"/>
      <c r="B17" s="422" t="s">
        <v>749</v>
      </c>
      <c r="C17" s="241"/>
      <c r="D17" s="466">
        <v>-453592270</v>
      </c>
      <c r="E17" s="466">
        <v>-349522570.67</v>
      </c>
      <c r="F17" s="366">
        <v>-297771477</v>
      </c>
      <c r="G17" s="366">
        <v>-250566665</v>
      </c>
      <c r="H17" s="265"/>
      <c r="I17" s="253"/>
      <c r="J17" s="254"/>
      <c r="K17" s="266"/>
      <c r="L17" s="255"/>
      <c r="M17" s="226"/>
    </row>
    <row r="18" spans="1:12" ht="15" customHeight="1">
      <c r="A18" s="375"/>
      <c r="B18" s="422" t="s">
        <v>750</v>
      </c>
      <c r="C18" s="241"/>
      <c r="D18" s="466">
        <v>-44189667</v>
      </c>
      <c r="E18" s="356">
        <v>-39660235</v>
      </c>
      <c r="F18" s="377">
        <v>-35254941.92</v>
      </c>
      <c r="G18" s="377">
        <v>-29954521</v>
      </c>
      <c r="H18" s="260"/>
      <c r="I18" s="452"/>
      <c r="J18" s="262"/>
      <c r="K18" s="264"/>
      <c r="L18" s="263"/>
    </row>
    <row r="19" spans="1:12" ht="15" customHeight="1" hidden="1">
      <c r="A19" s="375"/>
      <c r="B19" s="378" t="s">
        <v>751</v>
      </c>
      <c r="C19" s="343"/>
      <c r="D19" s="466"/>
      <c r="E19" s="377"/>
      <c r="F19" s="377"/>
      <c r="G19" s="377"/>
      <c r="H19" s="260"/>
      <c r="I19" s="452"/>
      <c r="J19" s="262"/>
      <c r="K19" s="264"/>
      <c r="L19" s="262"/>
    </row>
    <row r="20" spans="1:13" s="168" customFormat="1" ht="15" customHeight="1">
      <c r="A20" s="241"/>
      <c r="B20" s="422" t="s">
        <v>752</v>
      </c>
      <c r="C20" s="241"/>
      <c r="D20" s="466">
        <v>-62547707.52</v>
      </c>
      <c r="E20" s="351">
        <f>-92008704.08+11128715.91</f>
        <v>-80879988.17</v>
      </c>
      <c r="F20" s="351">
        <v>-75913886</v>
      </c>
      <c r="G20" s="351">
        <v>-74152805</v>
      </c>
      <c r="H20" s="423"/>
      <c r="I20" s="452"/>
      <c r="J20" s="424"/>
      <c r="K20" s="425"/>
      <c r="L20" s="424"/>
      <c r="M20" s="426"/>
    </row>
    <row r="21" spans="1:13" s="168" customFormat="1" ht="15" customHeight="1">
      <c r="A21" s="241"/>
      <c r="B21" s="422" t="s">
        <v>753</v>
      </c>
      <c r="C21" s="241"/>
      <c r="D21" s="467">
        <f>-4924002-85000-15957</f>
        <v>-5024959</v>
      </c>
      <c r="E21" s="359">
        <f>-6573129.1+492421.06</f>
        <v>-6080708.04</v>
      </c>
      <c r="F21" s="359">
        <v>-21882691</v>
      </c>
      <c r="G21" s="359">
        <v>-25942499</v>
      </c>
      <c r="H21" s="423"/>
      <c r="I21" s="427"/>
      <c r="J21" s="424"/>
      <c r="K21" s="425"/>
      <c r="L21" s="424"/>
      <c r="M21" s="426"/>
    </row>
    <row r="22" spans="1:13" ht="15" customHeight="1">
      <c r="A22" s="362" t="s">
        <v>754</v>
      </c>
      <c r="B22" s="343"/>
      <c r="C22" s="343"/>
      <c r="D22" s="368">
        <f>SUM(D10:D21)</f>
        <v>3526766.4799999967</v>
      </c>
      <c r="E22" s="368">
        <f>SUM(E8:E21)</f>
        <v>58552242.460000016</v>
      </c>
      <c r="F22" s="368">
        <f>SUM(F8:F21)</f>
        <v>97061299.07999998</v>
      </c>
      <c r="G22" s="368">
        <f>SUM(G10:G21)</f>
        <v>48318279</v>
      </c>
      <c r="H22" s="268"/>
      <c r="I22" s="253"/>
      <c r="J22" s="254"/>
      <c r="K22" s="266"/>
      <c r="L22" s="255"/>
      <c r="M22" s="226"/>
    </row>
    <row r="23" spans="1:13" ht="15" customHeight="1">
      <c r="A23" s="343"/>
      <c r="B23" s="343" t="s">
        <v>597</v>
      </c>
      <c r="C23" s="343"/>
      <c r="D23" s="343"/>
      <c r="E23" s="366"/>
      <c r="F23" s="366"/>
      <c r="G23" s="366"/>
      <c r="H23" s="265"/>
      <c r="I23" s="253"/>
      <c r="J23" s="254"/>
      <c r="K23" s="266"/>
      <c r="L23" s="255"/>
      <c r="M23" s="226"/>
    </row>
    <row r="24" spans="1:13" ht="15" customHeight="1">
      <c r="A24" s="362" t="s">
        <v>755</v>
      </c>
      <c r="B24" s="363"/>
      <c r="C24" s="363"/>
      <c r="D24" s="363"/>
      <c r="E24" s="368"/>
      <c r="F24" s="368"/>
      <c r="G24" s="366"/>
      <c r="H24" s="265"/>
      <c r="I24" s="253"/>
      <c r="J24" s="254"/>
      <c r="K24" s="266"/>
      <c r="L24" s="255"/>
      <c r="M24" s="226"/>
    </row>
    <row r="25" spans="1:12" ht="15" customHeight="1" hidden="1">
      <c r="A25" s="375"/>
      <c r="B25" s="378" t="s">
        <v>756</v>
      </c>
      <c r="C25" s="343"/>
      <c r="D25" s="343"/>
      <c r="E25" s="377"/>
      <c r="F25" s="377">
        <v>0</v>
      </c>
      <c r="G25" s="377">
        <v>0</v>
      </c>
      <c r="H25" s="260"/>
      <c r="I25" s="261"/>
      <c r="J25" s="262"/>
      <c r="K25" s="264"/>
      <c r="L25" s="190"/>
    </row>
    <row r="26" spans="1:12" ht="15" customHeight="1" hidden="1">
      <c r="A26" s="375"/>
      <c r="B26" s="378" t="s">
        <v>757</v>
      </c>
      <c r="C26" s="343"/>
      <c r="D26" s="343"/>
      <c r="E26" s="377"/>
      <c r="F26" s="377">
        <v>0</v>
      </c>
      <c r="G26" s="377">
        <v>0</v>
      </c>
      <c r="H26" s="260"/>
      <c r="I26" s="261"/>
      <c r="J26" s="262"/>
      <c r="K26" s="264"/>
      <c r="L26" s="190"/>
    </row>
    <row r="27" spans="1:12" ht="15" customHeight="1" hidden="1">
      <c r="A27" s="375"/>
      <c r="B27" s="378" t="s">
        <v>758</v>
      </c>
      <c r="C27" s="343"/>
      <c r="D27" s="343"/>
      <c r="E27" s="377"/>
      <c r="F27" s="377">
        <v>0</v>
      </c>
      <c r="G27" s="377">
        <v>0</v>
      </c>
      <c r="H27" s="260"/>
      <c r="I27" s="261"/>
      <c r="J27" s="262"/>
      <c r="K27" s="264"/>
      <c r="L27" s="190"/>
    </row>
    <row r="28" spans="1:12" ht="15" customHeight="1" hidden="1">
      <c r="A28" s="375"/>
      <c r="B28" s="378" t="s">
        <v>759</v>
      </c>
      <c r="C28" s="343"/>
      <c r="D28" s="343"/>
      <c r="E28" s="377"/>
      <c r="F28" s="377">
        <v>0</v>
      </c>
      <c r="G28" s="377">
        <v>0</v>
      </c>
      <c r="H28" s="260"/>
      <c r="I28" s="261"/>
      <c r="J28" s="262"/>
      <c r="K28" s="264"/>
      <c r="L28" s="190"/>
    </row>
    <row r="29" spans="1:12" ht="15" customHeight="1" hidden="1">
      <c r="A29" s="375"/>
      <c r="B29" s="378" t="s">
        <v>760</v>
      </c>
      <c r="C29" s="343"/>
      <c r="D29" s="343"/>
      <c r="E29" s="377"/>
      <c r="F29" s="377">
        <v>0</v>
      </c>
      <c r="G29" s="377">
        <v>0</v>
      </c>
      <c r="H29" s="260"/>
      <c r="I29" s="261"/>
      <c r="J29" s="262"/>
      <c r="K29" s="264"/>
      <c r="L29" s="190"/>
    </row>
    <row r="30" spans="1:12" ht="15" customHeight="1" hidden="1">
      <c r="A30" s="375"/>
      <c r="B30" s="378" t="s">
        <v>748</v>
      </c>
      <c r="C30" s="343"/>
      <c r="D30" s="343"/>
      <c r="E30" s="377"/>
      <c r="F30" s="377">
        <v>0</v>
      </c>
      <c r="G30" s="377">
        <v>0</v>
      </c>
      <c r="H30" s="260"/>
      <c r="I30" s="261"/>
      <c r="J30" s="262"/>
      <c r="K30" s="264"/>
      <c r="L30" s="190"/>
    </row>
    <row r="31" spans="1:12" ht="15" customHeight="1" hidden="1">
      <c r="A31" s="382"/>
      <c r="B31" s="379"/>
      <c r="C31" s="375"/>
      <c r="D31" s="375"/>
      <c r="E31" s="377"/>
      <c r="F31" s="377"/>
      <c r="G31" s="377"/>
      <c r="H31" s="260"/>
      <c r="I31" s="261"/>
      <c r="J31" s="262"/>
      <c r="K31" s="264"/>
      <c r="L31" s="190"/>
    </row>
    <row r="32" spans="1:13" ht="15" customHeight="1">
      <c r="A32" s="343"/>
      <c r="B32" s="378" t="s">
        <v>761</v>
      </c>
      <c r="C32" s="343"/>
      <c r="D32" s="467">
        <v>-9362570</v>
      </c>
      <c r="E32" s="371">
        <v>-11621136.97</v>
      </c>
      <c r="F32" s="371">
        <v>0</v>
      </c>
      <c r="G32" s="366">
        <v>0</v>
      </c>
      <c r="H32" s="265"/>
      <c r="I32" s="253"/>
      <c r="J32" s="377"/>
      <c r="K32" s="266"/>
      <c r="L32" s="255"/>
      <c r="M32" s="226"/>
    </row>
    <row r="33" spans="1:13" ht="15" customHeight="1" hidden="1">
      <c r="A33" s="343"/>
      <c r="B33" s="378" t="s">
        <v>762</v>
      </c>
      <c r="C33" s="343"/>
      <c r="D33" s="343"/>
      <c r="E33" s="366"/>
      <c r="F33" s="366">
        <v>0</v>
      </c>
      <c r="G33" s="366">
        <v>0</v>
      </c>
      <c r="H33" s="265"/>
      <c r="I33" s="253"/>
      <c r="J33" s="254"/>
      <c r="K33" s="266"/>
      <c r="L33" s="255"/>
      <c r="M33" s="226"/>
    </row>
    <row r="34" spans="1:12" ht="15" customHeight="1" hidden="1">
      <c r="A34" s="375"/>
      <c r="B34" s="378" t="s">
        <v>763</v>
      </c>
      <c r="C34" s="343"/>
      <c r="D34" s="343"/>
      <c r="E34" s="377"/>
      <c r="F34" s="377">
        <v>0</v>
      </c>
      <c r="G34" s="377">
        <v>0</v>
      </c>
      <c r="H34" s="260"/>
      <c r="I34" s="261"/>
      <c r="J34" s="262"/>
      <c r="K34" s="264"/>
      <c r="L34" s="190"/>
    </row>
    <row r="35" spans="1:12" ht="15" customHeight="1" hidden="1">
      <c r="A35" s="375"/>
      <c r="B35" s="378" t="s">
        <v>764</v>
      </c>
      <c r="C35" s="343"/>
      <c r="D35" s="343"/>
      <c r="E35" s="377"/>
      <c r="F35" s="377">
        <v>0</v>
      </c>
      <c r="G35" s="377">
        <v>0</v>
      </c>
      <c r="H35" s="260"/>
      <c r="I35" s="261"/>
      <c r="J35" s="262"/>
      <c r="K35" s="264"/>
      <c r="L35" s="190"/>
    </row>
    <row r="36" spans="1:12" ht="15" customHeight="1" hidden="1">
      <c r="A36" s="375"/>
      <c r="B36" s="378" t="s">
        <v>765</v>
      </c>
      <c r="C36" s="343"/>
      <c r="D36" s="343"/>
      <c r="E36" s="377"/>
      <c r="F36" s="377">
        <v>0</v>
      </c>
      <c r="G36" s="377">
        <v>0</v>
      </c>
      <c r="H36" s="260"/>
      <c r="I36" s="261"/>
      <c r="J36" s="262"/>
      <c r="K36" s="264"/>
      <c r="L36" s="190"/>
    </row>
    <row r="37" spans="1:12" ht="15" customHeight="1" hidden="1">
      <c r="A37" s="375"/>
      <c r="B37" s="378" t="s">
        <v>766</v>
      </c>
      <c r="C37" s="343"/>
      <c r="D37" s="343"/>
      <c r="E37" s="377"/>
      <c r="F37" s="377">
        <v>0</v>
      </c>
      <c r="G37" s="377">
        <v>0</v>
      </c>
      <c r="H37" s="260"/>
      <c r="I37" s="261"/>
      <c r="J37" s="262"/>
      <c r="K37" s="264"/>
      <c r="L37" s="190"/>
    </row>
    <row r="38" spans="1:12" ht="15" customHeight="1" hidden="1">
      <c r="A38" s="375"/>
      <c r="B38" s="378" t="s">
        <v>753</v>
      </c>
      <c r="C38" s="343"/>
      <c r="D38" s="343"/>
      <c r="E38" s="377"/>
      <c r="F38" s="377">
        <v>0</v>
      </c>
      <c r="G38" s="377">
        <v>0</v>
      </c>
      <c r="H38" s="260"/>
      <c r="I38" s="269"/>
      <c r="J38" s="262"/>
      <c r="K38" s="264"/>
      <c r="L38" s="190"/>
    </row>
    <row r="39" spans="1:13" ht="15" customHeight="1">
      <c r="A39" s="362" t="s">
        <v>767</v>
      </c>
      <c r="B39" s="343"/>
      <c r="C39" s="343"/>
      <c r="D39" s="368">
        <f>+D32</f>
        <v>-9362570</v>
      </c>
      <c r="E39" s="368">
        <f>SUM(E25:E38)</f>
        <v>-11621136.97</v>
      </c>
      <c r="F39" s="368">
        <f>SUM(F25:F38)</f>
        <v>0</v>
      </c>
      <c r="G39" s="368">
        <f>SUM(G25:G38)</f>
        <v>0</v>
      </c>
      <c r="H39" s="268"/>
      <c r="I39" s="253"/>
      <c r="J39" s="254"/>
      <c r="K39" s="266"/>
      <c r="L39" s="255"/>
      <c r="M39" s="226"/>
    </row>
    <row r="40" spans="1:13" ht="15" customHeight="1">
      <c r="A40" s="362"/>
      <c r="B40" s="343"/>
      <c r="C40" s="343"/>
      <c r="D40" s="343"/>
      <c r="E40" s="366"/>
      <c r="F40" s="366"/>
      <c r="G40" s="366"/>
      <c r="H40" s="265"/>
      <c r="I40" s="253"/>
      <c r="J40" s="254"/>
      <c r="K40" s="266"/>
      <c r="L40" s="255"/>
      <c r="M40" s="226"/>
    </row>
    <row r="41" spans="1:12" ht="15" customHeight="1">
      <c r="A41" s="382" t="s">
        <v>768</v>
      </c>
      <c r="B41" s="383"/>
      <c r="C41" s="383"/>
      <c r="D41" s="383"/>
      <c r="E41" s="368"/>
      <c r="F41" s="368"/>
      <c r="G41" s="366"/>
      <c r="H41" s="265"/>
      <c r="I41" s="253"/>
      <c r="J41" s="263"/>
      <c r="K41" s="264"/>
      <c r="L41" s="190"/>
    </row>
    <row r="42" spans="1:12" ht="15" customHeight="1" hidden="1">
      <c r="A42" s="375"/>
      <c r="B42" s="378" t="s">
        <v>769</v>
      </c>
      <c r="C42" s="343"/>
      <c r="D42" s="343"/>
      <c r="E42" s="377"/>
      <c r="F42" s="377">
        <v>0</v>
      </c>
      <c r="G42" s="377">
        <v>0</v>
      </c>
      <c r="H42" s="260"/>
      <c r="I42" s="261"/>
      <c r="J42" s="262"/>
      <c r="K42" s="264"/>
      <c r="L42" s="190"/>
    </row>
    <row r="43" spans="1:12" ht="15" customHeight="1" hidden="1">
      <c r="A43" s="375"/>
      <c r="B43" s="378" t="s">
        <v>770</v>
      </c>
      <c r="C43" s="343"/>
      <c r="D43" s="343"/>
      <c r="E43" s="377"/>
      <c r="F43" s="377">
        <v>0</v>
      </c>
      <c r="G43" s="377">
        <v>0</v>
      </c>
      <c r="H43" s="260"/>
      <c r="I43" s="261"/>
      <c r="J43" s="262"/>
      <c r="K43" s="266"/>
      <c r="L43" s="190"/>
    </row>
    <row r="44" spans="1:12" ht="15" customHeight="1" hidden="1">
      <c r="A44" s="375"/>
      <c r="B44" s="378" t="s">
        <v>771</v>
      </c>
      <c r="C44" s="343"/>
      <c r="D44" s="343"/>
      <c r="E44" s="377"/>
      <c r="F44" s="377">
        <v>0</v>
      </c>
      <c r="G44" s="377">
        <v>0</v>
      </c>
      <c r="H44" s="260"/>
      <c r="I44" s="261"/>
      <c r="J44" s="262"/>
      <c r="K44" s="264"/>
      <c r="L44" s="190"/>
    </row>
    <row r="45" spans="1:12" ht="15" customHeight="1" hidden="1">
      <c r="A45" s="375"/>
      <c r="B45" s="378" t="s">
        <v>772</v>
      </c>
      <c r="C45" s="343"/>
      <c r="D45" s="343"/>
      <c r="E45" s="377"/>
      <c r="F45" s="377">
        <v>0</v>
      </c>
      <c r="G45" s="377">
        <v>0</v>
      </c>
      <c r="H45" s="260"/>
      <c r="I45" s="261"/>
      <c r="J45" s="262"/>
      <c r="K45" s="264"/>
      <c r="L45" s="190"/>
    </row>
    <row r="46" spans="1:12" ht="15" customHeight="1">
      <c r="A46" s="375"/>
      <c r="B46" s="416" t="s">
        <v>930</v>
      </c>
      <c r="C46" s="415"/>
      <c r="D46" s="356">
        <v>7978.48</v>
      </c>
      <c r="E46" s="479">
        <f>3884.28+5071.06+11456.59</f>
        <v>20411.93</v>
      </c>
      <c r="F46" s="377">
        <v>0</v>
      </c>
      <c r="G46" s="377">
        <v>0</v>
      </c>
      <c r="H46" s="260"/>
      <c r="I46" s="261"/>
      <c r="J46" s="262"/>
      <c r="K46" s="264"/>
      <c r="L46" s="190"/>
    </row>
    <row r="47" spans="1:12" ht="15" customHeight="1" hidden="1">
      <c r="A47" s="382"/>
      <c r="B47" s="379"/>
      <c r="C47" s="375"/>
      <c r="D47" s="375"/>
      <c r="E47" s="377"/>
      <c r="F47" s="377"/>
      <c r="G47" s="377"/>
      <c r="H47" s="260"/>
      <c r="I47" s="261"/>
      <c r="J47" s="262"/>
      <c r="K47" s="264"/>
      <c r="L47" s="190"/>
    </row>
    <row r="48" spans="1:12" ht="15" customHeight="1" hidden="1">
      <c r="A48" s="375"/>
      <c r="B48" s="378" t="s">
        <v>773</v>
      </c>
      <c r="C48" s="343"/>
      <c r="D48" s="343"/>
      <c r="E48" s="377"/>
      <c r="F48" s="377">
        <v>0</v>
      </c>
      <c r="G48" s="377">
        <v>0</v>
      </c>
      <c r="H48" s="260"/>
      <c r="I48" s="261"/>
      <c r="J48" s="262"/>
      <c r="K48" s="264"/>
      <c r="L48" s="190"/>
    </row>
    <row r="49" spans="1:12" ht="15" customHeight="1" hidden="1">
      <c r="A49" s="375"/>
      <c r="B49" s="378" t="s">
        <v>774</v>
      </c>
      <c r="C49" s="343"/>
      <c r="D49" s="343"/>
      <c r="E49" s="377"/>
      <c r="F49" s="377">
        <v>0</v>
      </c>
      <c r="G49" s="377">
        <v>0</v>
      </c>
      <c r="H49" s="260"/>
      <c r="I49" s="261"/>
      <c r="J49" s="262"/>
      <c r="K49" s="264"/>
      <c r="L49" s="190"/>
    </row>
    <row r="50" spans="1:12" ht="15" customHeight="1" hidden="1">
      <c r="A50" s="375"/>
      <c r="B50" s="378" t="s">
        <v>775</v>
      </c>
      <c r="C50" s="343"/>
      <c r="D50" s="343"/>
      <c r="E50" s="377"/>
      <c r="F50" s="377">
        <v>0</v>
      </c>
      <c r="G50" s="377">
        <v>0</v>
      </c>
      <c r="H50" s="260"/>
      <c r="I50" s="261"/>
      <c r="J50" s="262"/>
      <c r="K50" s="264"/>
      <c r="L50" s="190"/>
    </row>
    <row r="51" spans="1:12" ht="15" customHeight="1" hidden="1">
      <c r="A51" s="375"/>
      <c r="B51" s="378" t="s">
        <v>776</v>
      </c>
      <c r="C51" s="343"/>
      <c r="D51" s="343"/>
      <c r="E51" s="377"/>
      <c r="F51" s="377">
        <v>0</v>
      </c>
      <c r="G51" s="377">
        <v>0</v>
      </c>
      <c r="H51" s="260"/>
      <c r="I51" s="261"/>
      <c r="J51" s="262"/>
      <c r="K51" s="264"/>
      <c r="L51" s="190"/>
    </row>
    <row r="52" spans="1:12" ht="15" customHeight="1" hidden="1">
      <c r="A52" s="375"/>
      <c r="B52" s="378" t="s">
        <v>777</v>
      </c>
      <c r="C52" s="343"/>
      <c r="D52" s="343"/>
      <c r="E52" s="377"/>
      <c r="F52" s="377">
        <v>0</v>
      </c>
      <c r="G52" s="377">
        <v>0</v>
      </c>
      <c r="H52" s="260"/>
      <c r="I52" s="261"/>
      <c r="J52" s="262"/>
      <c r="K52" s="264"/>
      <c r="L52" s="190"/>
    </row>
    <row r="53" spans="1:12" s="455" customFormat="1" ht="15" customHeight="1" hidden="1">
      <c r="A53" s="375"/>
      <c r="B53" s="378" t="s">
        <v>929</v>
      </c>
      <c r="C53" s="343"/>
      <c r="D53" s="343"/>
      <c r="E53" s="377"/>
      <c r="F53" s="377"/>
      <c r="G53" s="377"/>
      <c r="H53" s="260"/>
      <c r="I53" s="261"/>
      <c r="J53" s="262"/>
      <c r="K53" s="264"/>
      <c r="L53" s="190"/>
    </row>
    <row r="54" spans="1:12" ht="15" customHeight="1">
      <c r="A54" s="240"/>
      <c r="B54" s="422" t="s">
        <v>753</v>
      </c>
      <c r="C54" s="241"/>
      <c r="D54" s="500">
        <v>-11452531</v>
      </c>
      <c r="E54" s="500">
        <v>-10492397</v>
      </c>
      <c r="F54" s="384">
        <v>-10025743</v>
      </c>
      <c r="G54" s="384">
        <v>-8191843</v>
      </c>
      <c r="H54" s="260"/>
      <c r="I54" s="269"/>
      <c r="J54" s="263"/>
      <c r="K54" s="264"/>
      <c r="L54" s="190"/>
    </row>
    <row r="55" spans="1:12" ht="15" customHeight="1">
      <c r="A55" s="382" t="s">
        <v>778</v>
      </c>
      <c r="B55" s="375"/>
      <c r="C55" s="375"/>
      <c r="D55" s="368">
        <f>SUM(D46:D54)</f>
        <v>-11444552.52</v>
      </c>
      <c r="E55" s="368">
        <f>SUM(E42:E54)</f>
        <v>-10471985.07</v>
      </c>
      <c r="F55" s="368">
        <f>SUM(F42:F54)</f>
        <v>-10025743</v>
      </c>
      <c r="G55" s="368">
        <f>SUM(G42:G54)</f>
        <v>-8191843</v>
      </c>
      <c r="H55" s="268"/>
      <c r="I55" s="261"/>
      <c r="J55" s="263"/>
      <c r="K55" s="264"/>
      <c r="L55" s="190"/>
    </row>
    <row r="56" spans="1:12" ht="15" customHeight="1">
      <c r="A56" s="382"/>
      <c r="B56" s="375"/>
      <c r="C56" s="375"/>
      <c r="D56" s="375"/>
      <c r="E56" s="377"/>
      <c r="F56" s="377"/>
      <c r="G56" s="377"/>
      <c r="H56" s="260"/>
      <c r="I56" s="261"/>
      <c r="J56" s="263"/>
      <c r="K56" s="264"/>
      <c r="L56" s="190"/>
    </row>
    <row r="57" spans="1:13" ht="15" customHeight="1">
      <c r="A57" s="369" t="s">
        <v>779</v>
      </c>
      <c r="B57" s="343"/>
      <c r="C57" s="343"/>
      <c r="D57" s="366">
        <f>SUM(D22,D39,D55)</f>
        <v>-17280356.040000003</v>
      </c>
      <c r="E57" s="366">
        <f>SUM(E22,E39,E55)</f>
        <v>36459120.42000002</v>
      </c>
      <c r="F57" s="366">
        <f>SUM(F22,F39,F55)</f>
        <v>87035556.07999998</v>
      </c>
      <c r="G57" s="366">
        <f>+G22+G55</f>
        <v>40126436</v>
      </c>
      <c r="H57" s="265"/>
      <c r="I57" s="253"/>
      <c r="J57" s="254"/>
      <c r="K57" s="266"/>
      <c r="L57" s="255"/>
      <c r="M57" s="226"/>
    </row>
    <row r="58" spans="1:13" ht="15" customHeight="1">
      <c r="A58" s="343" t="s">
        <v>780</v>
      </c>
      <c r="B58" s="343"/>
      <c r="C58" s="343"/>
      <c r="D58" s="371">
        <v>329785451</v>
      </c>
      <c r="E58" s="371">
        <v>293326331</v>
      </c>
      <c r="F58" s="371">
        <v>206290775</v>
      </c>
      <c r="G58" s="371">
        <v>166164339</v>
      </c>
      <c r="H58" s="265"/>
      <c r="I58" s="253"/>
      <c r="J58" s="254"/>
      <c r="K58" s="270">
        <v>206290775</v>
      </c>
      <c r="L58" s="255"/>
      <c r="M58" s="226"/>
    </row>
    <row r="59" spans="1:13" ht="15" customHeight="1" thickBot="1">
      <c r="A59" s="362" t="s">
        <v>781</v>
      </c>
      <c r="B59" s="343"/>
      <c r="C59" s="343"/>
      <c r="D59" s="373">
        <f>SUM(D57:D58)</f>
        <v>312505094.96</v>
      </c>
      <c r="E59" s="373">
        <f>SUM(E57:E58)</f>
        <v>329785451.42</v>
      </c>
      <c r="F59" s="373">
        <f>SUM(F57:F58)</f>
        <v>293326331.08</v>
      </c>
      <c r="G59" s="373">
        <f>SUM(G57:G58)</f>
        <v>206290775</v>
      </c>
      <c r="H59" s="268"/>
      <c r="I59" s="253"/>
      <c r="J59" s="256"/>
      <c r="K59" s="266"/>
      <c r="L59" s="255"/>
      <c r="M59" s="226"/>
    </row>
    <row r="60" spans="1:15" ht="15" customHeight="1" thickTop="1">
      <c r="A60" s="362"/>
      <c r="B60" s="343"/>
      <c r="C60" s="343"/>
      <c r="D60" s="343"/>
      <c r="E60" s="365"/>
      <c r="F60" s="365"/>
      <c r="G60" s="365"/>
      <c r="H60" s="259"/>
      <c r="I60" s="253"/>
      <c r="J60" s="256"/>
      <c r="K60" s="755"/>
      <c r="L60" s="756"/>
      <c r="M60" s="757"/>
      <c r="N60" s="366"/>
      <c r="O60" s="8"/>
    </row>
    <row r="61" spans="1:15" ht="14.25">
      <c r="A61" s="810" t="s">
        <v>1051</v>
      </c>
      <c r="B61" s="810"/>
      <c r="C61" s="810"/>
      <c r="D61" s="810"/>
      <c r="E61" s="810"/>
      <c r="F61" s="810"/>
      <c r="G61" s="810"/>
      <c r="H61" s="810"/>
      <c r="I61" s="810"/>
      <c r="J61" s="254"/>
      <c r="K61" s="758"/>
      <c r="L61" s="756"/>
      <c r="M61" s="757"/>
      <c r="N61" s="8"/>
      <c r="O61" s="8"/>
    </row>
    <row r="62" spans="1:15" s="455" customFormat="1" ht="14.25">
      <c r="A62" s="569"/>
      <c r="B62" s="569"/>
      <c r="C62" s="569"/>
      <c r="D62" s="569"/>
      <c r="E62" s="569"/>
      <c r="F62" s="569"/>
      <c r="G62" s="569"/>
      <c r="H62" s="569"/>
      <c r="I62" s="569"/>
      <c r="J62" s="254"/>
      <c r="K62" s="759"/>
      <c r="L62" s="756"/>
      <c r="M62" s="757"/>
      <c r="N62" s="8"/>
      <c r="O62" s="8"/>
    </row>
    <row r="63" spans="1:13" ht="15">
      <c r="A63" s="570" t="s">
        <v>1052</v>
      </c>
      <c r="J63" s="254"/>
      <c r="K63" s="254"/>
      <c r="L63" s="255"/>
      <c r="M63" s="226"/>
    </row>
    <row r="64" spans="1:13" ht="15">
      <c r="A64" s="570" t="s">
        <v>1053</v>
      </c>
      <c r="J64" s="254"/>
      <c r="K64" s="254"/>
      <c r="L64" s="255"/>
      <c r="M64" s="226"/>
    </row>
    <row r="65" spans="1:13" ht="15">
      <c r="A65" s="570" t="s">
        <v>1054</v>
      </c>
      <c r="J65" s="254"/>
      <c r="K65" s="254"/>
      <c r="L65" s="255"/>
      <c r="M65" s="226"/>
    </row>
    <row r="66" spans="1:13" ht="15">
      <c r="A66" s="570" t="s">
        <v>1055</v>
      </c>
      <c r="B66" s="369"/>
      <c r="C66" s="369"/>
      <c r="D66" s="417"/>
      <c r="E66" s="396"/>
      <c r="F66" s="369"/>
      <c r="G66" s="369"/>
      <c r="H66" s="369"/>
      <c r="I66" s="369"/>
      <c r="J66" s="254"/>
      <c r="K66" s="254"/>
      <c r="L66" s="255"/>
      <c r="M66" s="226"/>
    </row>
    <row r="67" spans="1:13" s="455" customFormat="1" ht="15">
      <c r="A67" s="570" t="s">
        <v>1382</v>
      </c>
      <c r="B67" s="789"/>
      <c r="C67" s="789"/>
      <c r="D67" s="789"/>
      <c r="E67" s="789"/>
      <c r="F67" s="789"/>
      <c r="G67" s="789"/>
      <c r="H67" s="417"/>
      <c r="I67" s="417"/>
      <c r="J67" s="254"/>
      <c r="K67" s="254"/>
      <c r="L67" s="255"/>
      <c r="M67" s="226"/>
    </row>
    <row r="68" spans="1:13" ht="15">
      <c r="A68" s="570" t="s">
        <v>1383</v>
      </c>
      <c r="B68" s="789"/>
      <c r="C68" s="789"/>
      <c r="D68" s="789"/>
      <c r="E68" s="789"/>
      <c r="F68" s="789"/>
      <c r="G68" s="789"/>
      <c r="H68" s="417"/>
      <c r="I68" s="417"/>
      <c r="J68" s="254"/>
      <c r="K68" s="254"/>
      <c r="L68" s="255"/>
      <c r="M68" s="226"/>
    </row>
    <row r="69" spans="1:13" ht="14.25">
      <c r="A69" s="225"/>
      <c r="B69" s="225"/>
      <c r="C69" s="225"/>
      <c r="D69" s="225"/>
      <c r="E69" s="225"/>
      <c r="F69" s="225"/>
      <c r="G69" s="227"/>
      <c r="H69" s="271"/>
      <c r="I69" s="253"/>
      <c r="J69" s="254"/>
      <c r="K69" s="254"/>
      <c r="L69" s="255"/>
      <c r="M69" s="226"/>
    </row>
    <row r="70" spans="1:13" ht="14.25">
      <c r="A70" s="225"/>
      <c r="B70" s="225"/>
      <c r="C70" s="225"/>
      <c r="D70" s="225"/>
      <c r="E70" s="225"/>
      <c r="F70" s="227"/>
      <c r="G70" s="227"/>
      <c r="H70" s="271"/>
      <c r="I70" s="253"/>
      <c r="J70" s="254"/>
      <c r="K70" s="254"/>
      <c r="L70" s="255"/>
      <c r="M70" s="226"/>
    </row>
    <row r="71" spans="1:13" ht="15">
      <c r="A71" s="225"/>
      <c r="B71" s="225"/>
      <c r="C71" s="225"/>
      <c r="D71" s="225"/>
      <c r="E71" s="225"/>
      <c r="F71" s="227"/>
      <c r="G71" s="272"/>
      <c r="H71" s="273"/>
      <c r="I71" s="253"/>
      <c r="J71" s="254"/>
      <c r="K71" s="254"/>
      <c r="L71" s="255"/>
      <c r="M71" s="226"/>
    </row>
    <row r="72" spans="1:13" ht="15">
      <c r="A72" s="225"/>
      <c r="B72" s="245" t="s">
        <v>1352</v>
      </c>
      <c r="C72" s="225"/>
      <c r="D72" s="225"/>
      <c r="E72" s="225"/>
      <c r="F72" s="227"/>
      <c r="G72" s="225"/>
      <c r="H72" s="253"/>
      <c r="I72" s="253"/>
      <c r="J72" s="254"/>
      <c r="K72" s="254"/>
      <c r="L72" s="255"/>
      <c r="M72" s="226"/>
    </row>
    <row r="73" spans="1:13" ht="14.25">
      <c r="A73" s="225"/>
      <c r="B73" s="245"/>
      <c r="C73" s="225"/>
      <c r="D73" s="225"/>
      <c r="E73" s="225"/>
      <c r="F73" s="227"/>
      <c r="G73" s="225"/>
      <c r="H73" s="253"/>
      <c r="I73" s="253"/>
      <c r="J73" s="254"/>
      <c r="K73" s="254"/>
      <c r="L73" s="255"/>
      <c r="M73" s="226"/>
    </row>
    <row r="74" spans="1:13" ht="14.25">
      <c r="A74" s="2" t="s">
        <v>597</v>
      </c>
      <c r="B74" s="2"/>
      <c r="C74" s="2"/>
      <c r="D74" s="2"/>
      <c r="E74" s="2"/>
      <c r="F74" s="2"/>
      <c r="G74" s="2"/>
      <c r="H74" s="2"/>
      <c r="I74" s="2"/>
      <c r="J74" s="2"/>
      <c r="K74" s="1"/>
      <c r="L74" s="274"/>
      <c r="M74" s="1"/>
    </row>
    <row r="75" spans="1:13" ht="14.25">
      <c r="A75" s="2"/>
      <c r="B75" s="2"/>
      <c r="C75" s="2"/>
      <c r="D75" s="2"/>
      <c r="E75" s="2"/>
      <c r="F75" s="2"/>
      <c r="G75" s="2"/>
      <c r="H75" s="2"/>
      <c r="I75" s="2"/>
      <c r="J75" s="2"/>
      <c r="K75" s="1"/>
      <c r="L75" s="274"/>
      <c r="M75" s="1"/>
    </row>
    <row r="76" spans="1:13" ht="14.25">
      <c r="A76" s="2"/>
      <c r="B76" s="2"/>
      <c r="C76" s="2"/>
      <c r="D76" s="2"/>
      <c r="E76" s="2"/>
      <c r="F76" s="2"/>
      <c r="G76" s="2"/>
      <c r="H76" s="2"/>
      <c r="I76" s="2"/>
      <c r="J76" s="2"/>
      <c r="K76" s="1"/>
      <c r="L76" s="274"/>
      <c r="M76" s="1"/>
    </row>
    <row r="77" spans="1:13" ht="15">
      <c r="A77" s="401"/>
      <c r="B77" s="401"/>
      <c r="C77" s="401"/>
      <c r="D77" s="401"/>
      <c r="E77" s="401"/>
      <c r="F77" s="401"/>
      <c r="G77" s="401"/>
      <c r="H77" s="401"/>
      <c r="I77" s="401"/>
      <c r="J77" s="401"/>
      <c r="K77" s="401"/>
      <c r="L77" s="401"/>
      <c r="M77" s="401"/>
    </row>
    <row r="78" spans="1:13" ht="18.75">
      <c r="A78" s="275" t="s">
        <v>782</v>
      </c>
      <c r="B78" s="275"/>
      <c r="C78" s="275"/>
      <c r="D78" s="275" t="s">
        <v>783</v>
      </c>
      <c r="G78" s="275"/>
      <c r="H78" s="275"/>
      <c r="I78" s="275"/>
      <c r="J78" s="275"/>
      <c r="K78" s="275"/>
      <c r="L78" s="276"/>
      <c r="M78" s="275"/>
    </row>
  </sheetData>
  <sheetProtection/>
  <mergeCells count="5">
    <mergeCell ref="A1:G1"/>
    <mergeCell ref="A2:G2"/>
    <mergeCell ref="A3:G3"/>
    <mergeCell ref="A4:G4"/>
    <mergeCell ref="A61:I61"/>
  </mergeCells>
  <printOptions/>
  <pageMargins left="2.09" right="0.7086614173228347" top="0.7480314960629921" bottom="0.7480314960629921" header="0.31496062992125984" footer="0.31496062992125984"/>
  <pageSetup horizontalDpi="600" verticalDpi="600" orientation="landscape" scale="64" r:id="rId2"/>
  <ignoredErrors>
    <ignoredError sqref="G22" formulaRange="1"/>
  </ignoredErrors>
  <drawing r:id="rId1"/>
</worksheet>
</file>

<file path=xl/worksheets/sheet5.xml><?xml version="1.0" encoding="utf-8"?>
<worksheet xmlns="http://schemas.openxmlformats.org/spreadsheetml/2006/main" xmlns:r="http://schemas.openxmlformats.org/officeDocument/2006/relationships">
  <dimension ref="A1:F51"/>
  <sheetViews>
    <sheetView showGridLines="0" zoomScalePageLayoutView="0" workbookViewId="0" topLeftCell="A21">
      <selection activeCell="F47" sqref="F47"/>
    </sheetView>
  </sheetViews>
  <sheetFormatPr defaultColWidth="11.421875" defaultRowHeight="15"/>
  <cols>
    <col min="1" max="1" width="4.8515625" style="4" customWidth="1"/>
    <col min="2" max="2" width="29.00390625" style="4" customWidth="1"/>
    <col min="3" max="3" width="14.8515625" style="4" customWidth="1"/>
    <col min="4" max="4" width="17.140625" style="4" customWidth="1"/>
    <col min="5" max="5" width="20.00390625" style="4" customWidth="1"/>
    <col min="6" max="6" width="17.8515625" style="4" customWidth="1"/>
    <col min="7" max="16384" width="11.421875" style="4" customWidth="1"/>
  </cols>
  <sheetData>
    <row r="1" spans="1:6" ht="14.25">
      <c r="A1" s="812" t="s">
        <v>850</v>
      </c>
      <c r="B1" s="812"/>
      <c r="C1" s="812"/>
      <c r="D1" s="812"/>
      <c r="E1" s="812"/>
      <c r="F1" s="812"/>
    </row>
    <row r="2" spans="1:6" ht="14.25">
      <c r="A2" s="812" t="s">
        <v>1202</v>
      </c>
      <c r="B2" s="812"/>
      <c r="C2" s="812"/>
      <c r="D2" s="812"/>
      <c r="E2" s="812"/>
      <c r="F2" s="812"/>
    </row>
    <row r="3" spans="1:6" ht="14.25">
      <c r="A3" s="812" t="s">
        <v>851</v>
      </c>
      <c r="B3" s="812"/>
      <c r="C3" s="812"/>
      <c r="D3" s="812"/>
      <c r="E3" s="812"/>
      <c r="F3" s="812"/>
    </row>
    <row r="4" spans="1:6" ht="14.25">
      <c r="A4" s="813" t="s">
        <v>852</v>
      </c>
      <c r="B4" s="813"/>
      <c r="C4" s="813"/>
      <c r="D4" s="813"/>
      <c r="E4" s="813"/>
      <c r="F4" s="813"/>
    </row>
    <row r="5" spans="1:6" ht="14.25">
      <c r="A5" s="813"/>
      <c r="B5" s="813"/>
      <c r="C5" s="813"/>
      <c r="D5" s="813"/>
      <c r="E5" s="813"/>
      <c r="F5" s="813"/>
    </row>
    <row r="6" spans="1:6" s="455" customFormat="1" ht="14.25">
      <c r="A6" s="621"/>
      <c r="B6" s="621"/>
      <c r="C6" s="621"/>
      <c r="D6" s="621"/>
      <c r="E6" s="621"/>
      <c r="F6" s="621"/>
    </row>
    <row r="7" spans="1:6" ht="28.5" customHeight="1">
      <c r="A7" s="814" t="s">
        <v>853</v>
      </c>
      <c r="B7" s="814"/>
      <c r="C7" s="625" t="s">
        <v>1204</v>
      </c>
      <c r="D7" s="625" t="s">
        <v>1205</v>
      </c>
      <c r="E7" s="625" t="s">
        <v>1203</v>
      </c>
      <c r="F7" s="626" t="s">
        <v>854</v>
      </c>
    </row>
    <row r="8" spans="1:6" ht="14.25">
      <c r="A8" s="612">
        <v>1</v>
      </c>
      <c r="B8" s="613" t="s">
        <v>855</v>
      </c>
      <c r="C8" s="622">
        <f>SUM(C9:C17)</f>
        <v>606106528</v>
      </c>
      <c r="D8" s="622">
        <f>SUM(D9:D17)</f>
        <v>555777399.04</v>
      </c>
      <c r="E8" s="614">
        <f>+D8/C8</f>
        <v>0.9169632290117818</v>
      </c>
      <c r="F8" s="622">
        <f>SUM(F9:F17)</f>
        <v>50329128.95999999</v>
      </c>
    </row>
    <row r="9" spans="1:6" ht="14.25" hidden="1">
      <c r="A9" s="385">
        <v>1.1</v>
      </c>
      <c r="B9" s="615" t="s">
        <v>856</v>
      </c>
      <c r="C9" s="623">
        <v>0</v>
      </c>
      <c r="D9" s="623">
        <v>0</v>
      </c>
      <c r="E9" s="616"/>
      <c r="F9" s="795">
        <f aca="true" t="shared" si="0" ref="F9:F17">+C9-D9</f>
        <v>0</v>
      </c>
    </row>
    <row r="10" spans="1:6" ht="14.25" hidden="1">
      <c r="A10" s="385">
        <v>1.2</v>
      </c>
      <c r="B10" s="615" t="s">
        <v>857</v>
      </c>
      <c r="C10" s="623">
        <v>0</v>
      </c>
      <c r="D10" s="623">
        <v>0</v>
      </c>
      <c r="E10" s="616"/>
      <c r="F10" s="795">
        <f t="shared" si="0"/>
        <v>0</v>
      </c>
    </row>
    <row r="11" spans="1:6" ht="14.25" hidden="1">
      <c r="A11" s="385">
        <v>1.3</v>
      </c>
      <c r="B11" s="615" t="s">
        <v>858</v>
      </c>
      <c r="C11" s="623">
        <v>0</v>
      </c>
      <c r="D11" s="623">
        <v>0</v>
      </c>
      <c r="E11" s="616"/>
      <c r="F11" s="795">
        <f t="shared" si="0"/>
        <v>0</v>
      </c>
    </row>
    <row r="12" spans="1:6" ht="14.25">
      <c r="A12" s="385">
        <v>1.4</v>
      </c>
      <c r="B12" s="615" t="s">
        <v>859</v>
      </c>
      <c r="C12" s="623">
        <v>59100260</v>
      </c>
      <c r="D12" s="623">
        <v>54706272.11</v>
      </c>
      <c r="E12" s="616">
        <f>+D12/C12</f>
        <v>0.925651970228219</v>
      </c>
      <c r="F12" s="623">
        <f t="shared" si="0"/>
        <v>4393987.890000001</v>
      </c>
    </row>
    <row r="13" spans="1:6" ht="14.25">
      <c r="A13" s="385">
        <v>1.5</v>
      </c>
      <c r="B13" s="615" t="s">
        <v>860</v>
      </c>
      <c r="C13" s="623">
        <v>547006268</v>
      </c>
      <c r="D13" s="623">
        <v>501071126.93</v>
      </c>
      <c r="E13" s="616">
        <f>+D13/C13</f>
        <v>0.9160244703631074</v>
      </c>
      <c r="F13" s="623">
        <f t="shared" si="0"/>
        <v>45935141.06999999</v>
      </c>
    </row>
    <row r="14" spans="1:6" ht="14.25" hidden="1">
      <c r="A14" s="385">
        <v>1.6</v>
      </c>
      <c r="B14" s="615" t="s">
        <v>861</v>
      </c>
      <c r="C14" s="623"/>
      <c r="D14" s="623">
        <v>0</v>
      </c>
      <c r="E14" s="616"/>
      <c r="F14" s="623">
        <f t="shared" si="0"/>
        <v>0</v>
      </c>
    </row>
    <row r="15" spans="1:6" ht="14.25" hidden="1">
      <c r="A15" s="385">
        <v>1.7</v>
      </c>
      <c r="B15" s="615" t="s">
        <v>862</v>
      </c>
      <c r="C15" s="623">
        <v>0</v>
      </c>
      <c r="D15" s="623">
        <v>0</v>
      </c>
      <c r="E15" s="616"/>
      <c r="F15" s="623">
        <f t="shared" si="0"/>
        <v>0</v>
      </c>
    </row>
    <row r="16" spans="1:6" ht="27" hidden="1">
      <c r="A16" s="385">
        <v>1.8</v>
      </c>
      <c r="B16" s="615" t="s">
        <v>863</v>
      </c>
      <c r="C16" s="623">
        <v>0</v>
      </c>
      <c r="D16" s="623">
        <v>0</v>
      </c>
      <c r="E16" s="616"/>
      <c r="F16" s="623">
        <f t="shared" si="0"/>
        <v>0</v>
      </c>
    </row>
    <row r="17" spans="1:6" ht="14.25" hidden="1">
      <c r="A17" s="385">
        <v>1.9</v>
      </c>
      <c r="B17" s="615" t="s">
        <v>864</v>
      </c>
      <c r="C17" s="623">
        <v>0</v>
      </c>
      <c r="D17" s="623">
        <v>0</v>
      </c>
      <c r="E17" s="616"/>
      <c r="F17" s="623">
        <f t="shared" si="0"/>
        <v>0</v>
      </c>
    </row>
    <row r="18" spans="1:6" ht="14.25">
      <c r="A18" s="612">
        <v>2</v>
      </c>
      <c r="B18" s="615" t="s">
        <v>865</v>
      </c>
      <c r="C18" s="622">
        <f>SUM(C19:C27)</f>
        <v>606106528.0000001</v>
      </c>
      <c r="D18" s="622">
        <f>SUM(D19:D27)</f>
        <v>555777399.04</v>
      </c>
      <c r="E18" s="614">
        <f>+D18/C18</f>
        <v>0.9169632290117816</v>
      </c>
      <c r="F18" s="622">
        <f>SUM(F19:F27)</f>
        <v>50329128.95999998</v>
      </c>
    </row>
    <row r="19" spans="1:6" ht="14.25">
      <c r="A19" s="385">
        <v>2.1</v>
      </c>
      <c r="B19" s="615" t="s">
        <v>866</v>
      </c>
      <c r="C19" s="623">
        <v>458970260</v>
      </c>
      <c r="D19" s="623">
        <v>447116398.41</v>
      </c>
      <c r="E19" s="616">
        <f aca="true" t="shared" si="1" ref="E19:E25">+D19/C19</f>
        <v>0.9741729200711176</v>
      </c>
      <c r="F19" s="623">
        <f>+C19-D19</f>
        <v>11853861.589999974</v>
      </c>
    </row>
    <row r="20" spans="1:6" ht="14.25">
      <c r="A20" s="385">
        <v>2.2</v>
      </c>
      <c r="B20" s="615" t="s">
        <v>867</v>
      </c>
      <c r="C20" s="623">
        <v>92242404.2</v>
      </c>
      <c r="D20" s="623">
        <v>79466084.82</v>
      </c>
      <c r="E20" s="616">
        <f t="shared" si="1"/>
        <v>0.8614919082952522</v>
      </c>
      <c r="F20" s="623">
        <f aca="true" t="shared" si="2" ref="F20:F27">+C20-D20</f>
        <v>12776319.38000001</v>
      </c>
    </row>
    <row r="21" spans="1:6" ht="14.25">
      <c r="A21" s="385">
        <v>2.3</v>
      </c>
      <c r="B21" s="615" t="s">
        <v>868</v>
      </c>
      <c r="C21" s="623">
        <v>25021685.69</v>
      </c>
      <c r="D21" s="623">
        <v>18662249.92</v>
      </c>
      <c r="E21" s="616">
        <f t="shared" si="1"/>
        <v>0.7458430319688026</v>
      </c>
      <c r="F21" s="623">
        <f t="shared" si="2"/>
        <v>6359435.77</v>
      </c>
    </row>
    <row r="22" spans="1:6" ht="14.25">
      <c r="A22" s="385">
        <v>2.4</v>
      </c>
      <c r="B22" s="615" t="s">
        <v>869</v>
      </c>
      <c r="C22" s="623">
        <v>2200000</v>
      </c>
      <c r="D22" s="623">
        <v>1029740.8</v>
      </c>
      <c r="E22" s="616">
        <f t="shared" si="1"/>
        <v>0.46806400000000004</v>
      </c>
      <c r="F22" s="623">
        <f t="shared" si="2"/>
        <v>1170259.2</v>
      </c>
    </row>
    <row r="23" spans="1:6" ht="14.25" hidden="1">
      <c r="A23" s="385">
        <v>2.5</v>
      </c>
      <c r="B23" s="615" t="s">
        <v>870</v>
      </c>
      <c r="C23" s="623">
        <v>0</v>
      </c>
      <c r="D23" s="623">
        <v>0</v>
      </c>
      <c r="E23" s="616"/>
      <c r="F23" s="623">
        <f t="shared" si="2"/>
        <v>0</v>
      </c>
    </row>
    <row r="24" spans="1:6" ht="27">
      <c r="A24" s="385">
        <v>2.6</v>
      </c>
      <c r="B24" s="615" t="s">
        <v>871</v>
      </c>
      <c r="C24" s="623">
        <v>22672178.11</v>
      </c>
      <c r="D24" s="623">
        <v>9502925.09</v>
      </c>
      <c r="E24" s="616">
        <f>+D24/C24</f>
        <v>0.41914477929266764</v>
      </c>
      <c r="F24" s="623">
        <f t="shared" si="2"/>
        <v>13169253.02</v>
      </c>
    </row>
    <row r="25" spans="1:6" ht="14.25">
      <c r="A25" s="385">
        <v>2.7</v>
      </c>
      <c r="B25" s="618" t="s">
        <v>872</v>
      </c>
      <c r="C25" s="624">
        <v>5000000</v>
      </c>
      <c r="D25" s="354">
        <v>0</v>
      </c>
      <c r="E25" s="616">
        <f t="shared" si="1"/>
        <v>0</v>
      </c>
      <c r="F25" s="623">
        <f t="shared" si="2"/>
        <v>5000000</v>
      </c>
    </row>
    <row r="26" spans="1:6" ht="27" hidden="1">
      <c r="A26" s="385">
        <v>2.8</v>
      </c>
      <c r="B26" s="615" t="s">
        <v>873</v>
      </c>
      <c r="C26" s="619">
        <v>0</v>
      </c>
      <c r="D26" s="794">
        <v>0</v>
      </c>
      <c r="E26" s="616"/>
      <c r="F26" s="617">
        <f t="shared" si="2"/>
        <v>0</v>
      </c>
    </row>
    <row r="27" spans="1:6" ht="14.25" hidden="1">
      <c r="A27" s="385">
        <v>2.9</v>
      </c>
      <c r="B27" s="615" t="s">
        <v>874</v>
      </c>
      <c r="C27" s="620">
        <v>0</v>
      </c>
      <c r="D27" s="794">
        <v>0</v>
      </c>
      <c r="E27" s="616"/>
      <c r="F27" s="617">
        <f t="shared" si="2"/>
        <v>0</v>
      </c>
    </row>
    <row r="28" spans="1:6" ht="15">
      <c r="A28" s="249"/>
      <c r="B28" s="250" t="s">
        <v>875</v>
      </c>
      <c r="C28" s="793">
        <f>+C8-C18</f>
        <v>0</v>
      </c>
      <c r="D28" s="354">
        <f>+D8-D18</f>
        <v>0</v>
      </c>
      <c r="E28" s="251">
        <f>+E8-E18</f>
        <v>0</v>
      </c>
      <c r="F28" s="354">
        <f>+F8-F18</f>
        <v>0</v>
      </c>
    </row>
    <row r="29" spans="1:6" ht="15">
      <c r="A29" s="249"/>
      <c r="B29" s="250"/>
      <c r="C29" s="501"/>
      <c r="D29" s="501"/>
      <c r="E29" s="251"/>
      <c r="F29" s="501"/>
    </row>
    <row r="30" spans="1:6" ht="15" customHeight="1">
      <c r="A30" s="249"/>
      <c r="B30" s="796"/>
      <c r="C30" s="796"/>
      <c r="D30" s="796"/>
      <c r="E30" s="796"/>
      <c r="F30" s="796"/>
    </row>
    <row r="31" spans="1:6" ht="15" customHeight="1">
      <c r="A31" s="811" t="s">
        <v>1363</v>
      </c>
      <c r="B31" s="811"/>
      <c r="C31" s="811"/>
      <c r="D31" s="811"/>
      <c r="E31" s="811"/>
      <c r="F31" s="811"/>
    </row>
    <row r="32" spans="1:6" ht="14.25">
      <c r="A32" s="455"/>
      <c r="B32" s="455"/>
      <c r="C32" s="455"/>
      <c r="D32" s="455"/>
      <c r="E32" s="455"/>
      <c r="F32" s="455"/>
    </row>
    <row r="33" spans="1:6" ht="14.25">
      <c r="A33" s="455" t="s">
        <v>1364</v>
      </c>
      <c r="B33" s="455"/>
      <c r="C33" s="455"/>
      <c r="D33" s="455"/>
      <c r="E33" s="455"/>
      <c r="F33" s="455"/>
    </row>
    <row r="34" spans="1:6" ht="14.25">
      <c r="A34" s="455"/>
      <c r="B34" s="455"/>
      <c r="C34" s="455"/>
      <c r="D34" s="455"/>
      <c r="E34" s="455"/>
      <c r="F34" s="455"/>
    </row>
    <row r="35" s="455" customFormat="1" ht="14.25"/>
    <row r="36" s="455" customFormat="1" ht="14.25"/>
    <row r="37" s="455" customFormat="1" ht="14.25"/>
    <row r="38" s="455" customFormat="1" ht="14.25"/>
    <row r="39" spans="1:6" ht="15">
      <c r="A39" s="225"/>
      <c r="B39" s="225"/>
      <c r="C39" s="225"/>
      <c r="D39" s="233"/>
      <c r="E39" s="233"/>
      <c r="F39" s="455"/>
    </row>
    <row r="40" spans="1:6" ht="15">
      <c r="A40" s="225"/>
      <c r="B40" s="225"/>
      <c r="C40" s="225"/>
      <c r="D40" s="225"/>
      <c r="E40" s="225"/>
      <c r="F40" s="455"/>
    </row>
    <row r="41" spans="1:6" ht="14.25">
      <c r="A41" s="225"/>
      <c r="B41" s="225"/>
      <c r="C41" s="245" t="s">
        <v>876</v>
      </c>
      <c r="D41" s="233"/>
      <c r="E41" s="225"/>
      <c r="F41" s="455"/>
    </row>
    <row r="42" spans="1:5" s="455" customFormat="1" ht="14.25">
      <c r="A42" s="225"/>
      <c r="B42" s="225"/>
      <c r="C42" s="245"/>
      <c r="D42" s="233"/>
      <c r="E42" s="225"/>
    </row>
    <row r="43" spans="1:5" s="455" customFormat="1" ht="14.25">
      <c r="A43" s="225"/>
      <c r="B43" s="225"/>
      <c r="C43" s="245"/>
      <c r="D43" s="233"/>
      <c r="E43" s="225"/>
    </row>
    <row r="44" spans="1:6" ht="14.25">
      <c r="A44" s="225"/>
      <c r="B44" s="225"/>
      <c r="C44" s="225"/>
      <c r="D44" s="233"/>
      <c r="E44" s="225"/>
      <c r="F44" s="455"/>
    </row>
    <row r="45" spans="1:6" ht="14.25">
      <c r="A45" s="225"/>
      <c r="B45" s="225"/>
      <c r="C45" s="225"/>
      <c r="D45" s="233"/>
      <c r="E45" s="225"/>
      <c r="F45" s="455"/>
    </row>
    <row r="46" spans="1:6" ht="15">
      <c r="A46" s="225"/>
      <c r="B46" s="225"/>
      <c r="C46" s="225"/>
      <c r="D46" s="225"/>
      <c r="E46" s="225"/>
      <c r="F46" s="455"/>
    </row>
    <row r="47" spans="1:6" ht="18.75">
      <c r="A47" s="225"/>
      <c r="B47" s="275" t="s">
        <v>782</v>
      </c>
      <c r="C47" s="275"/>
      <c r="D47" s="275"/>
      <c r="E47" s="275" t="s">
        <v>783</v>
      </c>
      <c r="F47" s="455"/>
    </row>
    <row r="48" spans="1:6" ht="14.25">
      <c r="A48" s="225"/>
      <c r="B48" s="225"/>
      <c r="C48" s="225"/>
      <c r="D48" s="225"/>
      <c r="E48" s="225"/>
      <c r="F48" s="455"/>
    </row>
    <row r="49" spans="1:6" ht="18">
      <c r="A49" s="77"/>
      <c r="B49" s="455"/>
      <c r="C49" s="225"/>
      <c r="D49" s="455"/>
      <c r="E49" s="225"/>
      <c r="F49" s="455"/>
    </row>
    <row r="50" spans="1:6" ht="14.25">
      <c r="A50" s="225"/>
      <c r="B50" s="225"/>
      <c r="C50" s="225"/>
      <c r="D50" s="225"/>
      <c r="E50" s="225"/>
      <c r="F50" s="455"/>
    </row>
    <row r="51" spans="1:6" ht="14.25">
      <c r="A51" s="225"/>
      <c r="B51" s="225"/>
      <c r="C51" s="225"/>
      <c r="D51" s="225"/>
      <c r="E51" s="225"/>
      <c r="F51" s="455"/>
    </row>
  </sheetData>
  <sheetProtection/>
  <mergeCells count="7">
    <mergeCell ref="A31:F31"/>
    <mergeCell ref="A1:F1"/>
    <mergeCell ref="A2:F2"/>
    <mergeCell ref="A3:F3"/>
    <mergeCell ref="A4:F4"/>
    <mergeCell ref="A5:F5"/>
    <mergeCell ref="A7:B7"/>
  </mergeCells>
  <printOptions/>
  <pageMargins left="0.99" right="0.7" top="0.75" bottom="0.75" header="0.3" footer="0.3"/>
  <pageSetup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dimension ref="A1:P64"/>
  <sheetViews>
    <sheetView showGridLines="0" zoomScalePageLayoutView="0" workbookViewId="0" topLeftCell="A5">
      <selection activeCell="D44" sqref="D44"/>
    </sheetView>
  </sheetViews>
  <sheetFormatPr defaultColWidth="11.421875" defaultRowHeight="15"/>
  <cols>
    <col min="1" max="1" width="41.28125" style="0" customWidth="1"/>
    <col min="2" max="2" width="15.00390625" style="0" bestFit="1" customWidth="1"/>
    <col min="3" max="3" width="18.7109375" style="0" bestFit="1" customWidth="1"/>
    <col min="4" max="4" width="14.7109375" style="0" bestFit="1" customWidth="1"/>
    <col min="5" max="5" width="22.57421875" style="0" bestFit="1" customWidth="1"/>
    <col min="6" max="6" width="20.8515625" style="0" bestFit="1" customWidth="1"/>
    <col min="7" max="7" width="24.421875" style="0" customWidth="1"/>
    <col min="8" max="8" width="16.8515625" style="0" bestFit="1" customWidth="1"/>
    <col min="9" max="9" width="0" style="0" hidden="1" customWidth="1"/>
  </cols>
  <sheetData>
    <row r="1" s="455" customFormat="1" ht="15.75">
      <c r="A1" s="556" t="s">
        <v>1035</v>
      </c>
    </row>
    <row r="2" s="455" customFormat="1" ht="15.75" thickBot="1">
      <c r="A2" s="557">
        <v>2023</v>
      </c>
    </row>
    <row r="3" spans="1:8" s="455" customFormat="1" ht="15">
      <c r="A3" s="558"/>
      <c r="B3" s="559" t="s">
        <v>785</v>
      </c>
      <c r="C3" s="559" t="s">
        <v>786</v>
      </c>
      <c r="D3" s="559" t="s">
        <v>787</v>
      </c>
      <c r="E3" s="559" t="s">
        <v>788</v>
      </c>
      <c r="F3" s="559" t="s">
        <v>789</v>
      </c>
      <c r="G3" s="559" t="s">
        <v>790</v>
      </c>
      <c r="H3" s="560" t="s">
        <v>146</v>
      </c>
    </row>
    <row r="4" spans="1:16" s="455" customFormat="1" ht="15" customHeight="1">
      <c r="A4" s="561" t="s">
        <v>1036</v>
      </c>
      <c r="B4" s="698">
        <v>12579325.97</v>
      </c>
      <c r="C4" s="698">
        <f>148489264.17+14669381.66</f>
        <v>163158645.82999998</v>
      </c>
      <c r="D4" s="698">
        <f>5317799.29+965181.39</f>
        <v>6282980.68</v>
      </c>
      <c r="E4" s="698">
        <v>55825746.4</v>
      </c>
      <c r="F4" s="698">
        <v>34088507.18</v>
      </c>
      <c r="G4" s="698">
        <v>0</v>
      </c>
      <c r="H4" s="699">
        <f>+B4+C4+D4+E4+F4+G4</f>
        <v>271935206.06</v>
      </c>
      <c r="J4" s="815"/>
      <c r="K4" s="815"/>
      <c r="L4" s="815"/>
      <c r="M4" s="815"/>
      <c r="N4" s="815"/>
      <c r="O4" s="815"/>
      <c r="P4" s="815"/>
    </row>
    <row r="5" spans="1:8" s="455" customFormat="1" ht="15">
      <c r="A5" s="562" t="s">
        <v>791</v>
      </c>
      <c r="B5" s="682">
        <v>0</v>
      </c>
      <c r="C5" s="682">
        <v>0</v>
      </c>
      <c r="D5" s="682">
        <v>788087.62</v>
      </c>
      <c r="E5" s="682">
        <v>4860632.78</v>
      </c>
      <c r="F5" s="682">
        <v>3713850</v>
      </c>
      <c r="G5" s="682"/>
      <c r="H5" s="700">
        <f>+D5+E5+F5+C5</f>
        <v>9362570.4</v>
      </c>
    </row>
    <row r="6" spans="1:8" s="455" customFormat="1" ht="15">
      <c r="A6" s="562" t="s">
        <v>793</v>
      </c>
      <c r="B6" s="682">
        <v>0</v>
      </c>
      <c r="C6" s="682">
        <v>0</v>
      </c>
      <c r="D6" s="682">
        <v>0</v>
      </c>
      <c r="E6" s="682"/>
      <c r="F6" s="682"/>
      <c r="G6" s="682">
        <v>0</v>
      </c>
      <c r="H6" s="700">
        <f>SUM(B6:G6)</f>
        <v>0</v>
      </c>
    </row>
    <row r="7" spans="1:8" s="455" customFormat="1" ht="15">
      <c r="A7" s="561" t="s">
        <v>1037</v>
      </c>
      <c r="B7" s="698">
        <f aca="true" t="shared" si="0" ref="B7:G7">SUM(B4:B6)</f>
        <v>12579325.97</v>
      </c>
      <c r="C7" s="698">
        <f t="shared" si="0"/>
        <v>163158645.82999998</v>
      </c>
      <c r="D7" s="698">
        <f t="shared" si="0"/>
        <v>7071068.3</v>
      </c>
      <c r="E7" s="698">
        <f t="shared" si="0"/>
        <v>60686379.18</v>
      </c>
      <c r="F7" s="698">
        <f t="shared" si="0"/>
        <v>37802357.18</v>
      </c>
      <c r="G7" s="698">
        <f t="shared" si="0"/>
        <v>0</v>
      </c>
      <c r="H7" s="699">
        <f>+B7+C7+D7+E7+F7+G7</f>
        <v>281297776.46</v>
      </c>
    </row>
    <row r="8" spans="1:8" s="455" customFormat="1" ht="15">
      <c r="A8" s="562"/>
      <c r="B8" s="682"/>
      <c r="C8" s="682"/>
      <c r="D8" s="682"/>
      <c r="E8" s="682"/>
      <c r="F8" s="682"/>
      <c r="G8" s="682"/>
      <c r="H8" s="700">
        <f>SUM(B8:G8)</f>
        <v>0</v>
      </c>
    </row>
    <row r="9" spans="1:8" s="455" customFormat="1" ht="15">
      <c r="A9" s="563" t="s">
        <v>1038</v>
      </c>
      <c r="B9" s="698">
        <v>0</v>
      </c>
      <c r="C9" s="698">
        <v>-80862485.78</v>
      </c>
      <c r="D9" s="698">
        <f>-3701133.67-928361.99</f>
        <v>-4629495.66</v>
      </c>
      <c r="E9" s="698">
        <v>-33619441.54</v>
      </c>
      <c r="F9" s="698">
        <v>-21907071.28</v>
      </c>
      <c r="G9" s="698">
        <v>0</v>
      </c>
      <c r="H9" s="701">
        <f>+B9+C9+D9+E9+F9+G9</f>
        <v>-141018494.26</v>
      </c>
    </row>
    <row r="10" spans="1:8" s="455" customFormat="1" ht="15">
      <c r="A10" s="562" t="s">
        <v>880</v>
      </c>
      <c r="B10" s="682">
        <v>0</v>
      </c>
      <c r="C10" s="682">
        <f>-5896836.12-293387.76</f>
        <v>-6190223.88</v>
      </c>
      <c r="D10" s="682">
        <v>-658336.46</v>
      </c>
      <c r="E10" s="682">
        <v>-6226159</v>
      </c>
      <c r="F10" s="682">
        <v>-1891232.36</v>
      </c>
      <c r="G10" s="702">
        <v>0</v>
      </c>
      <c r="H10" s="700">
        <f>+C10+D10+E10+F10</f>
        <v>-14965951.7</v>
      </c>
    </row>
    <row r="11" spans="1:8" s="455" customFormat="1" ht="15">
      <c r="A11" s="562" t="s">
        <v>793</v>
      </c>
      <c r="B11" s="703"/>
      <c r="C11" s="703"/>
      <c r="D11" s="703"/>
      <c r="E11" s="703"/>
      <c r="F11" s="703"/>
      <c r="G11" s="704"/>
      <c r="H11" s="700">
        <f>+C11+D11+E11+F11</f>
        <v>0</v>
      </c>
    </row>
    <row r="12" spans="1:8" s="455" customFormat="1" ht="15">
      <c r="A12" s="561" t="s">
        <v>1039</v>
      </c>
      <c r="B12" s="704">
        <v>0</v>
      </c>
      <c r="C12" s="704">
        <f>SUM(C9:C10)</f>
        <v>-87052709.66</v>
      </c>
      <c r="D12" s="704">
        <f>SUM(D9:D11)</f>
        <v>-5287832.12</v>
      </c>
      <c r="E12" s="704">
        <f>SUM(E9:E11)</f>
        <v>-39845600.54</v>
      </c>
      <c r="F12" s="704">
        <f>SUM(F9:F11)</f>
        <v>-23798303.64</v>
      </c>
      <c r="G12" s="704">
        <v>0</v>
      </c>
      <c r="H12" s="699">
        <f>+B12+C12+D12+E12+F12+G12</f>
        <v>-155984445.95999998</v>
      </c>
    </row>
    <row r="13" spans="1:8" s="455" customFormat="1" ht="14.25">
      <c r="A13" s="562"/>
      <c r="B13" s="703"/>
      <c r="C13" s="703"/>
      <c r="D13" s="703"/>
      <c r="E13" s="703"/>
      <c r="F13" s="703"/>
      <c r="G13" s="703"/>
      <c r="H13" s="700"/>
    </row>
    <row r="14" spans="1:8" s="455" customFormat="1" ht="15" thickBot="1">
      <c r="A14" s="564" t="s">
        <v>1041</v>
      </c>
      <c r="B14" s="705">
        <f>+B7+B12</f>
        <v>12579325.97</v>
      </c>
      <c r="C14" s="705">
        <f>+C7+C12</f>
        <v>76105936.16999999</v>
      </c>
      <c r="D14" s="705">
        <f>+D7+D12</f>
        <v>1783236.1799999997</v>
      </c>
      <c r="E14" s="705">
        <f>+E7+E12</f>
        <v>20840778.64</v>
      </c>
      <c r="F14" s="705">
        <f>+F7+F12</f>
        <v>14004053.54</v>
      </c>
      <c r="G14" s="705">
        <v>0</v>
      </c>
      <c r="H14" s="706">
        <f>+B14+C14+D14+E14+F14</f>
        <v>125313330.5</v>
      </c>
    </row>
    <row r="15" spans="4:10" s="455" customFormat="1" ht="14.25">
      <c r="D15" s="457"/>
      <c r="E15" s="170">
        <f>+E14-'Notas Estado de Situación'!O529-'Notas Estado de Situación'!O530</f>
        <v>-1783236.0299999975</v>
      </c>
      <c r="J15" s="751">
        <f>+H14-'Notas Estado de Situación'!O535</f>
        <v>0.15000003576278687</v>
      </c>
    </row>
    <row r="16" s="455" customFormat="1" ht="14.25">
      <c r="D16" s="725"/>
    </row>
    <row r="17" s="455" customFormat="1" ht="14.25">
      <c r="A17" s="388" t="s">
        <v>1040</v>
      </c>
    </row>
    <row r="18" s="455" customFormat="1" ht="14.25">
      <c r="A18" s="388" t="s">
        <v>1223</v>
      </c>
    </row>
    <row r="19" s="455" customFormat="1" ht="14.25">
      <c r="A19" s="388" t="s">
        <v>1224</v>
      </c>
    </row>
    <row r="20" s="455" customFormat="1" ht="14.25">
      <c r="A20" s="388" t="s">
        <v>1353</v>
      </c>
    </row>
    <row r="21" s="455" customFormat="1" ht="14.25">
      <c r="A21" s="388" t="s">
        <v>1354</v>
      </c>
    </row>
    <row r="22" s="455" customFormat="1" ht="14.25">
      <c r="A22" s="388"/>
    </row>
    <row r="23" s="455" customFormat="1" ht="14.25"/>
    <row r="24" spans="1:10" ht="15" thickBot="1">
      <c r="A24" s="446">
        <v>2022</v>
      </c>
      <c r="B24" s="4"/>
      <c r="C24" s="4"/>
      <c r="D24" s="4"/>
      <c r="E24" s="4"/>
      <c r="F24" s="4"/>
      <c r="G24" s="4"/>
      <c r="H24" s="4"/>
      <c r="I24" s="4"/>
      <c r="J24" s="4"/>
    </row>
    <row r="25" spans="1:10" ht="14.25">
      <c r="A25" s="566"/>
      <c r="B25" s="559" t="s">
        <v>785</v>
      </c>
      <c r="C25" s="559" t="s">
        <v>786</v>
      </c>
      <c r="D25" s="559" t="s">
        <v>787</v>
      </c>
      <c r="E25" s="559" t="s">
        <v>788</v>
      </c>
      <c r="F25" s="559" t="s">
        <v>789</v>
      </c>
      <c r="G25" s="559" t="s">
        <v>790</v>
      </c>
      <c r="H25" s="560" t="s">
        <v>146</v>
      </c>
      <c r="I25" s="406"/>
      <c r="J25" s="4"/>
    </row>
    <row r="26" spans="1:10" ht="14.25">
      <c r="A26" s="562"/>
      <c r="B26" s="565"/>
      <c r="C26" s="565"/>
      <c r="D26" s="565"/>
      <c r="E26" s="565"/>
      <c r="F26" s="565"/>
      <c r="G26" s="565"/>
      <c r="H26" s="567"/>
      <c r="I26" s="406"/>
      <c r="J26" s="4"/>
    </row>
    <row r="27" spans="1:10" ht="14.25">
      <c r="A27" s="562"/>
      <c r="B27" s="565"/>
      <c r="C27" s="565"/>
      <c r="D27" s="565"/>
      <c r="E27" s="565"/>
      <c r="F27" s="565"/>
      <c r="G27" s="565"/>
      <c r="H27" s="567"/>
      <c r="I27" s="406"/>
      <c r="J27" s="4"/>
    </row>
    <row r="28" spans="1:10" ht="14.25">
      <c r="A28" s="568" t="s">
        <v>877</v>
      </c>
      <c r="B28" s="704">
        <v>12579325.97</v>
      </c>
      <c r="C28" s="704">
        <v>163061059.83</v>
      </c>
      <c r="D28" s="704">
        <v>4290796.33</v>
      </c>
      <c r="E28" s="704">
        <v>48373528.38</v>
      </c>
      <c r="F28" s="704">
        <v>31044177.19</v>
      </c>
      <c r="G28" s="704">
        <v>0</v>
      </c>
      <c r="H28" s="707">
        <f>SUM(B28:G28)</f>
        <v>259348887.70000002</v>
      </c>
      <c r="I28" s="406"/>
      <c r="J28" s="4"/>
    </row>
    <row r="29" spans="1:10" ht="14.25">
      <c r="A29" s="562" t="s">
        <v>791</v>
      </c>
      <c r="B29" s="708">
        <v>0</v>
      </c>
      <c r="C29" s="708">
        <v>97586</v>
      </c>
      <c r="D29" s="708">
        <v>1027002.96</v>
      </c>
      <c r="E29" s="708">
        <v>7452218.02</v>
      </c>
      <c r="F29" s="708">
        <v>3044329.99</v>
      </c>
      <c r="G29" s="708">
        <v>0</v>
      </c>
      <c r="H29" s="709">
        <f aca="true" t="shared" si="1" ref="H29:H37">SUM(B29:G29)</f>
        <v>11621136.97</v>
      </c>
      <c r="I29" s="406"/>
      <c r="J29" s="4"/>
    </row>
    <row r="30" spans="1:10" ht="14.25" hidden="1">
      <c r="A30" s="562" t="s">
        <v>792</v>
      </c>
      <c r="B30" s="703"/>
      <c r="C30" s="703">
        <v>0</v>
      </c>
      <c r="D30" s="703"/>
      <c r="E30" s="703"/>
      <c r="F30" s="703"/>
      <c r="G30" s="703">
        <v>0</v>
      </c>
      <c r="H30" s="707">
        <f t="shared" si="1"/>
        <v>0</v>
      </c>
      <c r="I30" s="406"/>
      <c r="J30" s="4"/>
    </row>
    <row r="31" spans="1:10" ht="14.25" hidden="1">
      <c r="A31" s="562" t="s">
        <v>793</v>
      </c>
      <c r="B31" s="703"/>
      <c r="C31" s="703"/>
      <c r="D31" s="703"/>
      <c r="E31" s="703"/>
      <c r="F31" s="703"/>
      <c r="G31" s="703"/>
      <c r="H31" s="707">
        <f t="shared" si="1"/>
        <v>0</v>
      </c>
      <c r="I31" s="406"/>
      <c r="J31" s="4"/>
    </row>
    <row r="32" spans="1:10" ht="14.25" hidden="1">
      <c r="A32" s="562" t="s">
        <v>794</v>
      </c>
      <c r="B32" s="703"/>
      <c r="C32" s="703"/>
      <c r="D32" s="703"/>
      <c r="E32" s="703"/>
      <c r="F32" s="703"/>
      <c r="G32" s="703"/>
      <c r="H32" s="707">
        <f t="shared" si="1"/>
        <v>0</v>
      </c>
      <c r="I32" s="406"/>
      <c r="J32" s="4"/>
    </row>
    <row r="33" spans="1:10" ht="14.25" hidden="1">
      <c r="A33" s="562" t="s">
        <v>659</v>
      </c>
      <c r="B33" s="703"/>
      <c r="C33" s="703">
        <v>0</v>
      </c>
      <c r="D33" s="703"/>
      <c r="E33" s="703"/>
      <c r="F33" s="703"/>
      <c r="G33" s="703"/>
      <c r="H33" s="707">
        <f t="shared" si="1"/>
        <v>0</v>
      </c>
      <c r="I33" s="406"/>
      <c r="J33" s="4"/>
    </row>
    <row r="34" spans="1:10" ht="14.25">
      <c r="A34" s="562" t="s">
        <v>878</v>
      </c>
      <c r="B34" s="704">
        <f>SUM(B28:B33)</f>
        <v>12579325.97</v>
      </c>
      <c r="C34" s="704">
        <f>SUM(C28:C33)</f>
        <v>163158645.83</v>
      </c>
      <c r="D34" s="704">
        <f>SUM(D28:D33)</f>
        <v>5317799.29</v>
      </c>
      <c r="E34" s="704">
        <f>SUM(E28:E33)</f>
        <v>55825746.400000006</v>
      </c>
      <c r="F34" s="704">
        <f>SUM(F28:F33)</f>
        <v>34088507.18</v>
      </c>
      <c r="G34" s="704">
        <v>0</v>
      </c>
      <c r="H34" s="707">
        <f t="shared" si="1"/>
        <v>270970024.67</v>
      </c>
      <c r="I34" s="406"/>
      <c r="J34" s="4"/>
    </row>
    <row r="35" spans="1:10" ht="14.25">
      <c r="A35" s="561" t="s">
        <v>879</v>
      </c>
      <c r="B35" s="704">
        <v>0</v>
      </c>
      <c r="C35" s="704">
        <f>-72025953.5-2640529.13</f>
        <v>-74666482.63</v>
      </c>
      <c r="D35" s="704">
        <v>-3116638.66</v>
      </c>
      <c r="E35" s="704">
        <f>-22550893.12-5647944.43</f>
        <v>-28198837.55</v>
      </c>
      <c r="F35" s="704">
        <f>-19079434.48-1372665.12</f>
        <v>-20452099.6</v>
      </c>
      <c r="G35" s="704"/>
      <c r="H35" s="699">
        <f t="shared" si="1"/>
        <v>-126434058.44</v>
      </c>
      <c r="I35" s="406"/>
      <c r="J35" s="4"/>
    </row>
    <row r="36" spans="1:10" ht="21" customHeight="1">
      <c r="A36" s="562" t="s">
        <v>880</v>
      </c>
      <c r="B36" s="708">
        <v>0</v>
      </c>
      <c r="C36" s="703">
        <f>-5902615.33-293387.76</f>
        <v>-6196003.09</v>
      </c>
      <c r="D36" s="703">
        <f>-460045.08-124449.93</f>
        <v>-584495.01</v>
      </c>
      <c r="E36" s="703">
        <v>-5420603.99</v>
      </c>
      <c r="F36" s="703">
        <v>-1454971.68</v>
      </c>
      <c r="G36" s="708">
        <v>0</v>
      </c>
      <c r="H36" s="700">
        <f>SUM(B36:G36)</f>
        <v>-13656073.77</v>
      </c>
      <c r="I36" s="406"/>
      <c r="J36" s="168"/>
    </row>
    <row r="37" spans="1:10" ht="14.25">
      <c r="A37" s="561" t="s">
        <v>881</v>
      </c>
      <c r="B37" s="704">
        <f>SUM(B35:B36)</f>
        <v>0</v>
      </c>
      <c r="C37" s="704">
        <f>SUM(C35:C36)</f>
        <v>-80862485.72</v>
      </c>
      <c r="D37" s="704">
        <f>SUM(D35:D36)</f>
        <v>-3701133.67</v>
      </c>
      <c r="E37" s="704">
        <f>SUM(E35:E36)</f>
        <v>-33619441.54</v>
      </c>
      <c r="F37" s="704">
        <f>SUM(F35:F36)</f>
        <v>-21907071.28</v>
      </c>
      <c r="G37" s="704">
        <v>0</v>
      </c>
      <c r="H37" s="699">
        <f t="shared" si="1"/>
        <v>-140090132.21</v>
      </c>
      <c r="I37" s="406"/>
      <c r="J37" s="4"/>
    </row>
    <row r="38" spans="1:10" ht="15" thickBot="1">
      <c r="A38" s="564" t="s">
        <v>882</v>
      </c>
      <c r="B38" s="705">
        <f>+B34+B37</f>
        <v>12579325.97</v>
      </c>
      <c r="C38" s="705">
        <f>+C34+C37</f>
        <v>82296160.11000001</v>
      </c>
      <c r="D38" s="705">
        <f>+D34+D37</f>
        <v>1616665.62</v>
      </c>
      <c r="E38" s="705">
        <f>+E34+E37</f>
        <v>22206304.860000007</v>
      </c>
      <c r="F38" s="705">
        <f>+F34+F37</f>
        <v>12181435.899999999</v>
      </c>
      <c r="G38" s="705">
        <v>0</v>
      </c>
      <c r="H38" s="710">
        <f>SUM(B38:G38)</f>
        <v>130879892.46000004</v>
      </c>
      <c r="I38" s="406"/>
      <c r="J38" s="4"/>
    </row>
    <row r="39" spans="1:10" ht="22.5" customHeight="1">
      <c r="A39" s="8"/>
      <c r="B39" s="8"/>
      <c r="C39" s="8"/>
      <c r="D39" s="574"/>
      <c r="E39" s="13"/>
      <c r="F39" s="8"/>
      <c r="G39" s="8"/>
      <c r="H39" s="574"/>
      <c r="I39" s="406"/>
      <c r="J39" s="4"/>
    </row>
    <row r="40" spans="1:10" ht="14.25">
      <c r="A40" s="4"/>
      <c r="B40" s="4"/>
      <c r="C40" s="4"/>
      <c r="D40" s="4"/>
      <c r="E40" s="4"/>
      <c r="F40" s="4"/>
      <c r="G40" s="4"/>
      <c r="H40" s="4"/>
      <c r="I40" s="4"/>
      <c r="J40" s="4"/>
    </row>
    <row r="41" spans="1:10" ht="14.25">
      <c r="A41" s="4"/>
      <c r="B41" s="4"/>
      <c r="C41" s="4"/>
      <c r="D41" s="4"/>
      <c r="E41" s="4"/>
      <c r="F41" s="4"/>
      <c r="G41" s="4"/>
      <c r="H41" s="4"/>
      <c r="I41" s="4"/>
      <c r="J41" s="4"/>
    </row>
    <row r="42" spans="2:10" ht="14.25">
      <c r="B42" s="4"/>
      <c r="C42" s="4"/>
      <c r="D42" s="4"/>
      <c r="E42" s="4"/>
      <c r="F42" s="4"/>
      <c r="G42" s="4"/>
      <c r="H42" s="4"/>
      <c r="I42" s="4"/>
      <c r="J42" s="4"/>
    </row>
    <row r="43" spans="1:10" ht="14.25">
      <c r="A43" s="388" t="s">
        <v>931</v>
      </c>
      <c r="B43" s="4"/>
      <c r="C43" s="4"/>
      <c r="D43" s="4"/>
      <c r="E43" s="4"/>
      <c r="F43" s="4"/>
      <c r="G43" s="4"/>
      <c r="H43" s="4"/>
      <c r="I43" s="4"/>
      <c r="J43" s="4"/>
    </row>
    <row r="44" spans="1:10" ht="14.25">
      <c r="A44" s="388" t="s">
        <v>1068</v>
      </c>
      <c r="B44" s="4"/>
      <c r="C44" s="4"/>
      <c r="D44" s="4"/>
      <c r="E44" s="4"/>
      <c r="F44" s="4"/>
      <c r="G44" s="4"/>
      <c r="H44" s="4"/>
      <c r="I44" s="4"/>
      <c r="J44" s="4"/>
    </row>
    <row r="45" spans="1:10" ht="14.25">
      <c r="A45" s="4"/>
      <c r="B45" s="4"/>
      <c r="C45" s="4"/>
      <c r="D45" s="4"/>
      <c r="E45" s="4"/>
      <c r="F45" s="4"/>
      <c r="G45" s="4"/>
      <c r="H45" s="4"/>
      <c r="I45" s="4"/>
      <c r="J45" s="4"/>
    </row>
    <row r="46" spans="1:10" ht="14.25" hidden="1">
      <c r="A46" s="446">
        <v>2021</v>
      </c>
      <c r="B46" s="4"/>
      <c r="C46" s="4"/>
      <c r="D46" s="4"/>
      <c r="E46" s="4"/>
      <c r="F46" s="4"/>
      <c r="G46" s="4"/>
      <c r="H46" s="4"/>
      <c r="I46" s="4"/>
      <c r="J46" s="4"/>
    </row>
    <row r="47" spans="1:10" ht="14.25" hidden="1">
      <c r="A47" s="325"/>
      <c r="B47" s="325" t="s">
        <v>785</v>
      </c>
      <c r="C47" s="325" t="s">
        <v>786</v>
      </c>
      <c r="D47" s="325" t="s">
        <v>787</v>
      </c>
      <c r="E47" s="325" t="s">
        <v>788</v>
      </c>
      <c r="F47" s="325" t="s">
        <v>789</v>
      </c>
      <c r="G47" s="325" t="s">
        <v>790</v>
      </c>
      <c r="H47" s="325" t="s">
        <v>146</v>
      </c>
      <c r="I47" s="4"/>
      <c r="J47" s="4"/>
    </row>
    <row r="48" spans="1:10" ht="14.25" hidden="1">
      <c r="A48" s="322"/>
      <c r="B48" s="322"/>
      <c r="C48" s="322"/>
      <c r="D48" s="322"/>
      <c r="E48" s="322"/>
      <c r="F48" s="322"/>
      <c r="G48" s="322"/>
      <c r="H48" s="322"/>
      <c r="I48" s="4"/>
      <c r="J48" s="4"/>
    </row>
    <row r="49" spans="1:10" ht="14.25" hidden="1">
      <c r="A49" s="322"/>
      <c r="B49" s="323"/>
      <c r="C49" s="323"/>
      <c r="D49" s="323"/>
      <c r="E49" s="323"/>
      <c r="F49" s="323"/>
      <c r="G49" s="323"/>
      <c r="H49" s="323"/>
      <c r="I49" s="4"/>
      <c r="J49" s="4"/>
    </row>
    <row r="50" spans="1:10" ht="14.25" hidden="1">
      <c r="A50" s="411" t="s">
        <v>883</v>
      </c>
      <c r="B50" s="324">
        <v>12579325.97</v>
      </c>
      <c r="C50" s="324">
        <v>165208374.1</v>
      </c>
      <c r="D50" s="324">
        <v>4169253.21</v>
      </c>
      <c r="E50" s="324">
        <v>43318678.78</v>
      </c>
      <c r="F50" s="324">
        <v>25434068.39</v>
      </c>
      <c r="G50" s="324">
        <v>1495727.5</v>
      </c>
      <c r="H50" s="408">
        <v>252205427.95</v>
      </c>
      <c r="I50" s="4"/>
      <c r="J50" s="4"/>
    </row>
    <row r="51" spans="1:10" ht="14.25" hidden="1">
      <c r="A51" s="322" t="s">
        <v>791</v>
      </c>
      <c r="B51" s="323"/>
      <c r="C51" s="323"/>
      <c r="D51" s="323">
        <v>121543.12</v>
      </c>
      <c r="E51" s="323">
        <v>5054849.6</v>
      </c>
      <c r="F51" s="323">
        <v>5857908.8</v>
      </c>
      <c r="G51" s="323">
        <v>0</v>
      </c>
      <c r="H51" s="323">
        <f aca="true" t="shared" si="2" ref="H51:H57">SUM(B51:G51)</f>
        <v>11034301.52</v>
      </c>
      <c r="I51" s="4"/>
      <c r="J51" s="4"/>
    </row>
    <row r="52" spans="1:10" ht="14.25" hidden="1">
      <c r="A52" s="322" t="s">
        <v>793</v>
      </c>
      <c r="B52" s="323"/>
      <c r="C52" s="323">
        <v>-2147314.27</v>
      </c>
      <c r="D52" s="323"/>
      <c r="E52" s="323"/>
      <c r="F52" s="323"/>
      <c r="G52" s="323">
        <v>-1495727.5</v>
      </c>
      <c r="H52" s="323">
        <f t="shared" si="2"/>
        <v>-3643041.77</v>
      </c>
      <c r="I52" s="4"/>
      <c r="J52" s="4"/>
    </row>
    <row r="53" spans="1:10" ht="14.25" hidden="1">
      <c r="A53" s="407" t="s">
        <v>878</v>
      </c>
      <c r="B53" s="324">
        <f aca="true" t="shared" si="3" ref="B53:G53">SUM(B50:B52)</f>
        <v>12579325.97</v>
      </c>
      <c r="C53" s="324">
        <f t="shared" si="3"/>
        <v>163061059.82999998</v>
      </c>
      <c r="D53" s="324">
        <f t="shared" si="3"/>
        <v>4290796.33</v>
      </c>
      <c r="E53" s="324">
        <f t="shared" si="3"/>
        <v>48373528.38</v>
      </c>
      <c r="F53" s="324">
        <f t="shared" si="3"/>
        <v>31291977.19</v>
      </c>
      <c r="G53" s="324">
        <f t="shared" si="3"/>
        <v>0</v>
      </c>
      <c r="H53" s="324">
        <f t="shared" si="2"/>
        <v>259596687.7</v>
      </c>
      <c r="I53" s="4"/>
      <c r="J53" s="4"/>
    </row>
    <row r="54" spans="1:10" ht="14.25" hidden="1">
      <c r="A54" s="407" t="s">
        <v>879</v>
      </c>
      <c r="B54" s="324"/>
      <c r="C54" s="324">
        <v>-68632505.49</v>
      </c>
      <c r="D54" s="324">
        <v>-2700706.31</v>
      </c>
      <c r="E54" s="324">
        <v>-22550893.12</v>
      </c>
      <c r="F54" s="324">
        <v>-19435569.34</v>
      </c>
      <c r="G54" s="324"/>
      <c r="H54" s="324">
        <f t="shared" si="2"/>
        <v>-113319674.26</v>
      </c>
      <c r="I54" s="4"/>
      <c r="J54" s="4"/>
    </row>
    <row r="55" spans="1:10" ht="14.25" hidden="1">
      <c r="A55" s="407" t="s">
        <v>880</v>
      </c>
      <c r="B55" s="323"/>
      <c r="C55" s="323">
        <v>-6153241.24</v>
      </c>
      <c r="D55" s="323">
        <v>-415932.35</v>
      </c>
      <c r="E55" s="323">
        <v>-5647944.43</v>
      </c>
      <c r="F55" s="323">
        <v>-1264330.26</v>
      </c>
      <c r="G55" s="323"/>
      <c r="H55" s="323">
        <f t="shared" si="2"/>
        <v>-13481448.28</v>
      </c>
      <c r="I55" s="4"/>
      <c r="J55" s="4"/>
    </row>
    <row r="56" spans="1:10" ht="14.25" hidden="1">
      <c r="A56" s="322" t="s">
        <v>793</v>
      </c>
      <c r="B56" s="323"/>
      <c r="C56" s="323">
        <v>119264.04</v>
      </c>
      <c r="D56" s="323"/>
      <c r="E56" s="323"/>
      <c r="F56" s="323"/>
      <c r="G56" s="323"/>
      <c r="H56" s="323">
        <f t="shared" si="2"/>
        <v>119264.04</v>
      </c>
      <c r="I56" s="4"/>
      <c r="J56" s="4"/>
    </row>
    <row r="57" spans="1:10" ht="14.25" hidden="1">
      <c r="A57" s="407" t="s">
        <v>881</v>
      </c>
      <c r="B57" s="324">
        <f aca="true" t="shared" si="4" ref="B57:G57">SUM(B54:B56)</f>
        <v>0</v>
      </c>
      <c r="C57" s="324">
        <f t="shared" si="4"/>
        <v>-74666482.68999998</v>
      </c>
      <c r="D57" s="324">
        <f t="shared" si="4"/>
        <v>-3116638.66</v>
      </c>
      <c r="E57" s="324">
        <f t="shared" si="4"/>
        <v>-28198837.55</v>
      </c>
      <c r="F57" s="324">
        <f t="shared" si="4"/>
        <v>-20699899.6</v>
      </c>
      <c r="G57" s="324">
        <f t="shared" si="4"/>
        <v>0</v>
      </c>
      <c r="H57" s="324">
        <f t="shared" si="2"/>
        <v>-126681858.49999997</v>
      </c>
      <c r="I57" s="4"/>
      <c r="J57" s="4"/>
    </row>
    <row r="58" spans="1:10" ht="14.25" hidden="1">
      <c r="A58" s="407" t="s">
        <v>884</v>
      </c>
      <c r="B58" s="324">
        <f>+B53+B57</f>
        <v>12579325.97</v>
      </c>
      <c r="C58" s="324">
        <f aca="true" t="shared" si="5" ref="C58:H58">+C53+C57</f>
        <v>88394577.14</v>
      </c>
      <c r="D58" s="324">
        <f t="shared" si="5"/>
        <v>1174157.67</v>
      </c>
      <c r="E58" s="324">
        <f t="shared" si="5"/>
        <v>20174690.830000002</v>
      </c>
      <c r="F58" s="324">
        <f t="shared" si="5"/>
        <v>10592077.59</v>
      </c>
      <c r="G58" s="324">
        <f t="shared" si="5"/>
        <v>0</v>
      </c>
      <c r="H58" s="324">
        <f t="shared" si="5"/>
        <v>132914829.20000002</v>
      </c>
      <c r="I58" s="4"/>
      <c r="J58" s="4"/>
    </row>
    <row r="59" spans="1:10" ht="14.25" hidden="1">
      <c r="A59" s="4"/>
      <c r="B59" s="4"/>
      <c r="C59" s="4"/>
      <c r="D59" s="4"/>
      <c r="E59" s="4"/>
      <c r="F59" s="4"/>
      <c r="G59" s="4"/>
      <c r="H59" s="4"/>
      <c r="I59" s="4"/>
      <c r="J59" s="4"/>
    </row>
    <row r="60" spans="1:10" ht="14.25" hidden="1">
      <c r="A60" s="4"/>
      <c r="B60" s="4"/>
      <c r="C60" s="4"/>
      <c r="D60" s="4"/>
      <c r="E60" s="4"/>
      <c r="F60" s="4"/>
      <c r="G60" s="4"/>
      <c r="H60" s="4"/>
      <c r="I60" s="4"/>
      <c r="J60" s="4"/>
    </row>
    <row r="61" spans="1:10" ht="14.25" hidden="1">
      <c r="A61" s="4"/>
      <c r="B61" s="4"/>
      <c r="C61" s="4"/>
      <c r="D61" s="4"/>
      <c r="E61" s="4"/>
      <c r="F61" s="4"/>
      <c r="G61" s="4"/>
      <c r="H61" s="4"/>
      <c r="I61" s="4"/>
      <c r="J61" s="4"/>
    </row>
    <row r="62" spans="1:10" ht="14.25" hidden="1">
      <c r="A62" s="388" t="s">
        <v>885</v>
      </c>
      <c r="B62" s="4"/>
      <c r="C62" s="4"/>
      <c r="D62" s="4"/>
      <c r="E62" s="4"/>
      <c r="F62" s="4"/>
      <c r="G62" s="4"/>
      <c r="H62" s="4"/>
      <c r="I62" s="4"/>
      <c r="J62" s="4"/>
    </row>
    <row r="63" spans="1:10" ht="14.25" hidden="1">
      <c r="A63" s="388" t="s">
        <v>886</v>
      </c>
      <c r="B63" s="4"/>
      <c r="C63" s="4"/>
      <c r="D63" s="4"/>
      <c r="E63" s="4"/>
      <c r="F63" s="4"/>
      <c r="G63" s="4"/>
      <c r="H63" s="4"/>
      <c r="I63" s="4"/>
      <c r="J63" s="4"/>
    </row>
    <row r="64" spans="1:10" ht="14.25" hidden="1">
      <c r="A64" s="388" t="s">
        <v>887</v>
      </c>
      <c r="B64" s="4"/>
      <c r="C64" s="4"/>
      <c r="D64" s="4"/>
      <c r="E64" s="4"/>
      <c r="F64" s="4"/>
      <c r="G64" s="4"/>
      <c r="H64" s="4"/>
      <c r="I64" s="4"/>
      <c r="J64" s="4"/>
    </row>
    <row r="65" ht="14.25" hidden="1"/>
    <row r="66" ht="14.25" hidden="1"/>
  </sheetData>
  <sheetProtection/>
  <mergeCells count="1">
    <mergeCell ref="J4:P4"/>
  </mergeCells>
  <printOptions/>
  <pageMargins left="1.59" right="0.7086614173228347" top="0.76" bottom="0.7480314960629921" header="0.31496062992125984" footer="0.31496062992125984"/>
  <pageSetup horizontalDpi="600" verticalDpi="600" orientation="landscape" scale="56" r:id="rId3"/>
  <legacyDrawing r:id="rId2"/>
</worksheet>
</file>

<file path=xl/worksheets/sheet7.xml><?xml version="1.0" encoding="utf-8"?>
<worksheet xmlns="http://schemas.openxmlformats.org/spreadsheetml/2006/main" xmlns:r="http://schemas.openxmlformats.org/officeDocument/2006/relationships">
  <dimension ref="A5:AY744"/>
  <sheetViews>
    <sheetView zoomScale="89" zoomScaleNormal="89" zoomScaleSheetLayoutView="89" zoomScalePageLayoutView="0" workbookViewId="0" topLeftCell="A449">
      <selection activeCell="B475" sqref="B475"/>
    </sheetView>
  </sheetViews>
  <sheetFormatPr defaultColWidth="9.140625" defaultRowHeight="15"/>
  <cols>
    <col min="1" max="1" width="9.140625" style="3" customWidth="1"/>
    <col min="2" max="2" width="16.7109375" style="3" customWidth="1"/>
    <col min="3" max="3" width="3.28125" style="3" customWidth="1"/>
    <col min="4" max="4" width="2.57421875" style="3" customWidth="1"/>
    <col min="5" max="5" width="53.8515625" style="3" customWidth="1"/>
    <col min="6" max="6" width="0.71875" style="3" customWidth="1"/>
    <col min="7" max="7" width="18.421875" style="3" hidden="1" customWidth="1"/>
    <col min="8" max="8" width="23.57421875" style="3" hidden="1" customWidth="1"/>
    <col min="9" max="9" width="17.8515625" style="3" hidden="1" customWidth="1"/>
    <col min="10" max="10" width="17.7109375" style="3" hidden="1" customWidth="1"/>
    <col min="11" max="11" width="13.8515625" style="3" hidden="1" customWidth="1"/>
    <col min="12" max="12" width="14.7109375" style="3" hidden="1" customWidth="1"/>
    <col min="13" max="13" width="10.421875" style="3" hidden="1" customWidth="1"/>
    <col min="14" max="14" width="1.7109375" style="3" customWidth="1"/>
    <col min="15" max="15" width="20.140625" style="456" customWidth="1"/>
    <col min="16" max="16" width="24.421875" style="168" customWidth="1"/>
    <col min="17" max="17" width="24.421875" style="168" hidden="1" customWidth="1"/>
    <col min="18" max="18" width="24.421875" style="3" hidden="1" customWidth="1"/>
    <col min="19" max="19" width="23.8515625" style="3" hidden="1" customWidth="1"/>
    <col min="20" max="21" width="17.421875" style="125" hidden="1" customWidth="1"/>
    <col min="22" max="22" width="22.7109375" style="125" hidden="1" customWidth="1"/>
    <col min="23" max="23" width="21.8515625" style="125" hidden="1" customWidth="1"/>
    <col min="24" max="24" width="15.28125" style="125" hidden="1" customWidth="1"/>
    <col min="25" max="25" width="9.7109375" style="125" hidden="1" customWidth="1"/>
    <col min="26" max="26" width="21.8515625" style="125" hidden="1" customWidth="1"/>
    <col min="27" max="28" width="14.00390625" style="125" hidden="1" customWidth="1"/>
    <col min="29" max="29" width="10.7109375" style="125" hidden="1" customWidth="1"/>
    <col min="30" max="31" width="13.28125" style="125" hidden="1" customWidth="1"/>
    <col min="32" max="32" width="14.28125" style="125" hidden="1" customWidth="1"/>
    <col min="33" max="33" width="12.57421875" style="125" hidden="1" customWidth="1"/>
    <col min="34" max="37" width="0" style="3" hidden="1" customWidth="1"/>
    <col min="38" max="38" width="9.140625" style="3" customWidth="1"/>
    <col min="39" max="39" width="14.57421875" style="125" hidden="1" customWidth="1"/>
    <col min="40" max="40" width="17.57421875" style="332" bestFit="1" customWidth="1"/>
    <col min="41" max="41" width="19.140625" style="462" bestFit="1" customWidth="1"/>
    <col min="42" max="42" width="19.57421875" style="462" customWidth="1"/>
    <col min="43" max="51" width="9.140625" style="462" customWidth="1"/>
    <col min="52" max="16384" width="9.140625" style="3" customWidth="1"/>
  </cols>
  <sheetData>
    <row r="1" ht="13.5" customHeight="1"/>
    <row r="2" ht="13.5" customHeight="1"/>
    <row r="3" ht="13.5" customHeight="1"/>
    <row r="4" ht="13.5" customHeight="1"/>
    <row r="5" spans="2:12" ht="26.25">
      <c r="B5" s="107"/>
      <c r="C5" s="107"/>
      <c r="D5" s="107"/>
      <c r="E5" s="107"/>
      <c r="F5" s="107"/>
      <c r="G5" s="107"/>
      <c r="H5" s="107"/>
      <c r="I5" s="107"/>
      <c r="J5" s="107"/>
      <c r="K5" s="108"/>
      <c r="L5" s="108"/>
    </row>
    <row r="6" spans="2:51" s="456" customFormat="1" ht="26.25">
      <c r="B6" s="107"/>
      <c r="C6" s="107"/>
      <c r="D6" s="107"/>
      <c r="E6" s="107" t="s">
        <v>987</v>
      </c>
      <c r="F6" s="107"/>
      <c r="G6" s="107"/>
      <c r="H6" s="107"/>
      <c r="I6" s="107"/>
      <c r="J6" s="107"/>
      <c r="K6" s="108"/>
      <c r="L6" s="108"/>
      <c r="T6" s="462"/>
      <c r="U6" s="462"/>
      <c r="V6" s="462"/>
      <c r="W6" s="462"/>
      <c r="X6" s="462"/>
      <c r="Y6" s="462"/>
      <c r="Z6" s="462"/>
      <c r="AA6" s="462"/>
      <c r="AB6" s="462"/>
      <c r="AC6" s="462"/>
      <c r="AD6" s="462"/>
      <c r="AE6" s="462"/>
      <c r="AF6" s="462"/>
      <c r="AG6" s="462"/>
      <c r="AM6" s="462"/>
      <c r="AN6" s="332"/>
      <c r="AO6" s="462"/>
      <c r="AP6" s="462"/>
      <c r="AQ6" s="462"/>
      <c r="AR6" s="462"/>
      <c r="AS6" s="462"/>
      <c r="AT6" s="462"/>
      <c r="AU6" s="462"/>
      <c r="AV6" s="462"/>
      <c r="AW6" s="462"/>
      <c r="AX6" s="462"/>
      <c r="AY6" s="462"/>
    </row>
    <row r="7" spans="1:20" ht="26.25">
      <c r="A7" s="816" t="s">
        <v>986</v>
      </c>
      <c r="B7" s="816"/>
      <c r="C7" s="816"/>
      <c r="D7" s="816"/>
      <c r="E7" s="816"/>
      <c r="F7" s="816"/>
      <c r="G7" s="816"/>
      <c r="H7" s="816"/>
      <c r="I7" s="816"/>
      <c r="J7" s="816"/>
      <c r="K7" s="816"/>
      <c r="L7" s="816"/>
      <c r="M7" s="816"/>
      <c r="N7" s="816"/>
      <c r="O7" s="816"/>
      <c r="P7" s="816"/>
      <c r="Q7" s="816"/>
      <c r="R7" s="816"/>
      <c r="S7" s="816"/>
      <c r="T7" s="816"/>
    </row>
    <row r="8" spans="1:20" ht="26.25">
      <c r="A8" s="816" t="s">
        <v>985</v>
      </c>
      <c r="B8" s="816"/>
      <c r="C8" s="816"/>
      <c r="D8" s="816"/>
      <c r="E8" s="816"/>
      <c r="F8" s="816"/>
      <c r="G8" s="816"/>
      <c r="H8" s="816"/>
      <c r="I8" s="816"/>
      <c r="J8" s="816"/>
      <c r="K8" s="816"/>
      <c r="L8" s="816"/>
      <c r="M8" s="816"/>
      <c r="N8" s="816"/>
      <c r="O8" s="816"/>
      <c r="P8" s="816"/>
      <c r="Q8" s="816"/>
      <c r="R8" s="816"/>
      <c r="S8" s="816"/>
      <c r="T8" s="816"/>
    </row>
    <row r="9" spans="2:16" ht="26.25">
      <c r="B9" s="12"/>
      <c r="C9" s="12"/>
      <c r="D9" s="12"/>
      <c r="E9" s="525" t="s">
        <v>984</v>
      </c>
      <c r="F9" s="12"/>
      <c r="G9" s="12"/>
      <c r="H9" s="12"/>
      <c r="I9" s="12"/>
      <c r="J9" s="12"/>
      <c r="P9" s="458"/>
    </row>
    <row r="10" spans="2:16" ht="15">
      <c r="B10" s="12"/>
      <c r="C10" s="12"/>
      <c r="D10" s="12"/>
      <c r="E10" s="12"/>
      <c r="F10" s="12"/>
      <c r="G10" s="12"/>
      <c r="H10" s="12"/>
      <c r="I10" s="12"/>
      <c r="J10" s="12"/>
      <c r="P10" s="458"/>
    </row>
    <row r="11" spans="2:51" s="456" customFormat="1" ht="15">
      <c r="B11" s="12"/>
      <c r="C11" s="12"/>
      <c r="D11" s="12"/>
      <c r="E11" s="12"/>
      <c r="F11" s="12"/>
      <c r="G11" s="12"/>
      <c r="H11" s="12"/>
      <c r="I11" s="12"/>
      <c r="J11" s="12"/>
      <c r="T11" s="462"/>
      <c r="U11" s="462"/>
      <c r="V11" s="462"/>
      <c r="W11" s="462"/>
      <c r="X11" s="462"/>
      <c r="Y11" s="462"/>
      <c r="Z11" s="462"/>
      <c r="AA11" s="462"/>
      <c r="AB11" s="462"/>
      <c r="AC11" s="462"/>
      <c r="AD11" s="462"/>
      <c r="AE11" s="462"/>
      <c r="AF11" s="462"/>
      <c r="AG11" s="462"/>
      <c r="AM11" s="462"/>
      <c r="AN11" s="332"/>
      <c r="AO11" s="462"/>
      <c r="AP11" s="462"/>
      <c r="AQ11" s="462"/>
      <c r="AR11" s="462"/>
      <c r="AS11" s="462"/>
      <c r="AT11" s="462"/>
      <c r="AU11" s="462"/>
      <c r="AV11" s="462"/>
      <c r="AW11" s="462"/>
      <c r="AX11" s="462"/>
      <c r="AY11" s="462"/>
    </row>
    <row r="12" spans="2:18" ht="15">
      <c r="B12" s="12"/>
      <c r="C12" s="12"/>
      <c r="D12" s="12"/>
      <c r="E12" s="12"/>
      <c r="F12" s="12"/>
      <c r="G12" s="12"/>
      <c r="H12" s="12"/>
      <c r="I12" s="12"/>
      <c r="J12" s="12"/>
      <c r="O12" s="818"/>
      <c r="P12" s="818"/>
      <c r="Q12" s="217" t="s">
        <v>642</v>
      </c>
      <c r="R12" s="217"/>
    </row>
    <row r="13" spans="2:26" ht="18.75">
      <c r="B13" s="109" t="s">
        <v>553</v>
      </c>
      <c r="C13" s="12"/>
      <c r="D13" s="12"/>
      <c r="E13" s="12"/>
      <c r="F13" s="12"/>
      <c r="G13" s="22">
        <v>2015</v>
      </c>
      <c r="H13" s="12"/>
      <c r="I13" s="12"/>
      <c r="J13" s="12"/>
      <c r="O13" s="32">
        <v>2023</v>
      </c>
      <c r="P13" s="32">
        <v>2022</v>
      </c>
      <c r="Q13" s="110">
        <v>2021</v>
      </c>
      <c r="R13" s="110">
        <v>2020</v>
      </c>
      <c r="S13" s="110">
        <v>2019</v>
      </c>
      <c r="U13" s="277">
        <v>2018</v>
      </c>
      <c r="W13" s="277">
        <v>2017</v>
      </c>
      <c r="X13" s="277"/>
      <c r="Y13" s="277"/>
      <c r="Z13" s="277">
        <v>2016</v>
      </c>
    </row>
    <row r="14" spans="2:10" ht="20.25">
      <c r="B14" s="182" t="s">
        <v>85</v>
      </c>
      <c r="C14" s="12"/>
      <c r="D14" s="12"/>
      <c r="E14" s="12"/>
      <c r="F14" s="12"/>
      <c r="G14" s="12"/>
      <c r="H14" s="12"/>
      <c r="I14" s="12"/>
      <c r="J14" s="12"/>
    </row>
    <row r="15" spans="2:10" ht="15.75">
      <c r="B15" s="60" t="s">
        <v>86</v>
      </c>
      <c r="C15" s="12"/>
      <c r="D15" s="12"/>
      <c r="E15" s="12"/>
      <c r="F15" s="12"/>
      <c r="G15" s="12"/>
      <c r="H15" s="12"/>
      <c r="I15" s="12"/>
      <c r="J15" s="12"/>
    </row>
    <row r="16" spans="2:10" ht="18.75">
      <c r="B16" s="109" t="s">
        <v>87</v>
      </c>
      <c r="C16" s="12"/>
      <c r="D16" s="12"/>
      <c r="E16" s="12"/>
      <c r="F16" s="12"/>
      <c r="G16" s="12"/>
      <c r="H16" s="12"/>
      <c r="I16" s="12"/>
      <c r="J16" s="12"/>
    </row>
    <row r="17" spans="1:27" ht="15.75">
      <c r="A17" s="111"/>
      <c r="B17" s="60" t="s">
        <v>88</v>
      </c>
      <c r="C17" s="60"/>
      <c r="D17" s="60"/>
      <c r="E17" s="60"/>
      <c r="F17" s="60"/>
      <c r="G17" s="60"/>
      <c r="H17" s="61">
        <v>424792.74</v>
      </c>
      <c r="I17" s="61"/>
      <c r="J17" s="61"/>
      <c r="K17" s="112"/>
      <c r="L17" s="112"/>
      <c r="M17" s="112"/>
      <c r="N17" s="112"/>
      <c r="O17" s="461"/>
      <c r="P17" s="113">
        <v>0</v>
      </c>
      <c r="Q17" s="113">
        <v>0</v>
      </c>
      <c r="R17" s="113">
        <v>0</v>
      </c>
      <c r="S17" s="113">
        <v>0</v>
      </c>
      <c r="T17" s="115"/>
      <c r="U17" s="115"/>
      <c r="V17" s="114">
        <v>0</v>
      </c>
      <c r="W17" s="115"/>
      <c r="X17" s="114">
        <v>782620</v>
      </c>
      <c r="Y17" s="114"/>
      <c r="Z17" s="114"/>
      <c r="AA17" s="114">
        <v>204917.81</v>
      </c>
    </row>
    <row r="18" spans="2:27" ht="15.75">
      <c r="B18" s="60"/>
      <c r="C18" s="60"/>
      <c r="D18" s="60"/>
      <c r="E18" s="60"/>
      <c r="F18" s="60"/>
      <c r="G18" s="60"/>
      <c r="H18" s="61"/>
      <c r="I18" s="61"/>
      <c r="J18" s="61"/>
      <c r="K18" s="112"/>
      <c r="L18" s="112"/>
      <c r="M18" s="112"/>
      <c r="N18" s="112"/>
      <c r="O18" s="461"/>
      <c r="P18" s="113"/>
      <c r="Q18" s="113"/>
      <c r="R18" s="113"/>
      <c r="S18" s="113"/>
      <c r="T18" s="115"/>
      <c r="U18" s="115"/>
      <c r="V18" s="115"/>
      <c r="W18" s="115"/>
      <c r="X18" s="278"/>
      <c r="Y18" s="278"/>
      <c r="Z18" s="114"/>
      <c r="AA18" s="115"/>
    </row>
    <row r="19" spans="2:27" ht="15.75">
      <c r="B19" s="60" t="s">
        <v>631</v>
      </c>
      <c r="C19" s="60"/>
      <c r="D19" s="60"/>
      <c r="E19" s="60"/>
      <c r="F19" s="60"/>
      <c r="G19" s="62">
        <v>50000</v>
      </c>
      <c r="H19" s="61"/>
      <c r="I19" s="61"/>
      <c r="J19" s="61"/>
      <c r="K19" s="112"/>
      <c r="L19" s="112"/>
      <c r="M19" s="112"/>
      <c r="N19" s="112"/>
      <c r="O19" s="647">
        <v>50000</v>
      </c>
      <c r="P19" s="647">
        <v>50000</v>
      </c>
      <c r="Q19" s="113">
        <v>50000</v>
      </c>
      <c r="R19" s="113">
        <v>50000</v>
      </c>
      <c r="S19" s="113">
        <v>50000</v>
      </c>
      <c r="T19" s="115"/>
      <c r="U19" s="117">
        <v>50000</v>
      </c>
      <c r="V19" s="117">
        <v>50000</v>
      </c>
      <c r="W19" s="117">
        <v>50000</v>
      </c>
      <c r="X19" s="114"/>
      <c r="Y19" s="114"/>
      <c r="Z19" s="114">
        <v>50000</v>
      </c>
      <c r="AA19" s="115"/>
    </row>
    <row r="20" spans="2:27" ht="15.75">
      <c r="B20" s="60" t="s">
        <v>632</v>
      </c>
      <c r="C20" s="60"/>
      <c r="D20" s="60"/>
      <c r="E20" s="60"/>
      <c r="F20" s="60"/>
      <c r="G20" s="62">
        <v>30000</v>
      </c>
      <c r="H20" s="61"/>
      <c r="I20" s="61"/>
      <c r="J20" s="61"/>
      <c r="K20" s="112"/>
      <c r="L20" s="112"/>
      <c r="M20" s="112"/>
      <c r="N20" s="112"/>
      <c r="O20" s="647">
        <v>30000</v>
      </c>
      <c r="P20" s="647">
        <v>30000</v>
      </c>
      <c r="Q20" s="113">
        <v>30000</v>
      </c>
      <c r="R20" s="113">
        <v>30000</v>
      </c>
      <c r="S20" s="113">
        <v>30000</v>
      </c>
      <c r="T20" s="115"/>
      <c r="U20" s="117">
        <v>30000</v>
      </c>
      <c r="V20" s="117">
        <v>30000</v>
      </c>
      <c r="W20" s="117">
        <v>30000</v>
      </c>
      <c r="X20" s="279"/>
      <c r="Y20" s="279"/>
      <c r="Z20" s="280">
        <v>30000</v>
      </c>
      <c r="AA20" s="115"/>
    </row>
    <row r="21" spans="2:27" ht="15" hidden="1">
      <c r="B21" s="60" t="s">
        <v>89</v>
      </c>
      <c r="C21" s="60"/>
      <c r="D21" s="60"/>
      <c r="E21" s="60"/>
      <c r="F21" s="60"/>
      <c r="G21" s="62"/>
      <c r="H21" s="61"/>
      <c r="I21" s="61"/>
      <c r="J21" s="61"/>
      <c r="K21" s="112"/>
      <c r="L21" s="112"/>
      <c r="M21" s="112"/>
      <c r="N21" s="112"/>
      <c r="O21" s="647"/>
      <c r="P21" s="647"/>
      <c r="Q21" s="113"/>
      <c r="R21" s="113"/>
      <c r="S21" s="113"/>
      <c r="T21" s="115"/>
      <c r="U21" s="117"/>
      <c r="V21" s="117"/>
      <c r="W21" s="117"/>
      <c r="X21" s="114"/>
      <c r="Y21" s="114"/>
      <c r="Z21" s="114"/>
      <c r="AA21" s="115"/>
    </row>
    <row r="22" spans="2:27" ht="15" hidden="1">
      <c r="B22" s="60" t="s">
        <v>90</v>
      </c>
      <c r="C22" s="60"/>
      <c r="D22" s="60"/>
      <c r="E22" s="60"/>
      <c r="F22" s="60"/>
      <c r="G22" s="62"/>
      <c r="H22" s="61"/>
      <c r="I22" s="61"/>
      <c r="J22" s="61"/>
      <c r="K22" s="112"/>
      <c r="L22" s="112"/>
      <c r="M22" s="112"/>
      <c r="N22" s="112"/>
      <c r="O22" s="647"/>
      <c r="P22" s="647"/>
      <c r="Q22" s="113"/>
      <c r="R22" s="113"/>
      <c r="S22" s="113"/>
      <c r="T22" s="115"/>
      <c r="U22" s="117"/>
      <c r="V22" s="117"/>
      <c r="W22" s="117"/>
      <c r="X22" s="114"/>
      <c r="Y22" s="114"/>
      <c r="Z22" s="114"/>
      <c r="AA22" s="115"/>
    </row>
    <row r="23" spans="2:27" ht="18.75" customHeight="1">
      <c r="B23" s="60" t="s">
        <v>633</v>
      </c>
      <c r="C23" s="60"/>
      <c r="D23" s="60"/>
      <c r="E23" s="60"/>
      <c r="F23" s="60"/>
      <c r="G23" s="62">
        <v>25000</v>
      </c>
      <c r="H23" s="61"/>
      <c r="I23" s="61"/>
      <c r="J23" s="61"/>
      <c r="K23" s="112"/>
      <c r="L23" s="112"/>
      <c r="M23" s="112"/>
      <c r="N23" s="112"/>
      <c r="O23" s="647">
        <v>25000</v>
      </c>
      <c r="P23" s="647">
        <v>25000</v>
      </c>
      <c r="Q23" s="113">
        <v>25000</v>
      </c>
      <c r="R23" s="113">
        <v>25000</v>
      </c>
      <c r="S23" s="113">
        <v>25000</v>
      </c>
      <c r="T23" s="115"/>
      <c r="U23" s="117">
        <v>25000</v>
      </c>
      <c r="V23" s="117">
        <v>25000</v>
      </c>
      <c r="W23" s="117">
        <v>25000</v>
      </c>
      <c r="X23" s="114"/>
      <c r="Y23" s="114"/>
      <c r="Z23" s="114">
        <v>25000</v>
      </c>
      <c r="AA23" s="115"/>
    </row>
    <row r="24" spans="2:27" ht="15.75">
      <c r="B24" s="60" t="s">
        <v>634</v>
      </c>
      <c r="C24" s="60"/>
      <c r="D24" s="60"/>
      <c r="E24" s="60"/>
      <c r="F24" s="60"/>
      <c r="G24" s="62">
        <v>50000</v>
      </c>
      <c r="H24" s="62"/>
      <c r="I24" s="62"/>
      <c r="J24" s="62"/>
      <c r="K24" s="112"/>
      <c r="L24" s="112"/>
      <c r="M24" s="112"/>
      <c r="N24" s="112"/>
      <c r="O24" s="647">
        <v>50000</v>
      </c>
      <c r="P24" s="647">
        <v>50000</v>
      </c>
      <c r="Q24" s="113">
        <v>50000</v>
      </c>
      <c r="R24" s="113">
        <v>50000</v>
      </c>
      <c r="S24" s="113">
        <v>50000</v>
      </c>
      <c r="T24" s="115"/>
      <c r="U24" s="117">
        <v>50000</v>
      </c>
      <c r="V24" s="117">
        <v>50000</v>
      </c>
      <c r="W24" s="117">
        <v>50000</v>
      </c>
      <c r="X24" s="279"/>
      <c r="Y24" s="279"/>
      <c r="Z24" s="280">
        <v>50000</v>
      </c>
      <c r="AA24" s="115"/>
    </row>
    <row r="25" spans="2:27" ht="15.75">
      <c r="B25" s="60" t="s">
        <v>658</v>
      </c>
      <c r="C25" s="60"/>
      <c r="D25" s="60"/>
      <c r="E25" s="60"/>
      <c r="F25" s="60"/>
      <c r="G25" s="62">
        <v>10000</v>
      </c>
      <c r="H25" s="62"/>
      <c r="I25" s="62"/>
      <c r="J25" s="62"/>
      <c r="K25" s="112"/>
      <c r="L25" s="112"/>
      <c r="M25" s="112"/>
      <c r="N25" s="112"/>
      <c r="O25" s="647">
        <v>20000</v>
      </c>
      <c r="P25" s="647">
        <v>20000</v>
      </c>
      <c r="Q25" s="113">
        <v>20000</v>
      </c>
      <c r="R25" s="113">
        <v>10000</v>
      </c>
      <c r="S25" s="113">
        <v>10000</v>
      </c>
      <c r="T25" s="115"/>
      <c r="U25" s="117">
        <v>10000</v>
      </c>
      <c r="V25" s="117">
        <v>10000</v>
      </c>
      <c r="W25" s="117">
        <v>10000</v>
      </c>
      <c r="X25" s="279"/>
      <c r="Y25" s="279"/>
      <c r="Z25" s="280">
        <v>10000</v>
      </c>
      <c r="AA25" s="115"/>
    </row>
    <row r="26" spans="2:27" ht="15.75">
      <c r="B26" s="60" t="s">
        <v>657</v>
      </c>
      <c r="C26" s="60"/>
      <c r="D26" s="60"/>
      <c r="E26" s="60"/>
      <c r="F26" s="60"/>
      <c r="G26" s="62">
        <v>10000</v>
      </c>
      <c r="H26" s="62"/>
      <c r="I26" s="62"/>
      <c r="J26" s="62"/>
      <c r="K26" s="112"/>
      <c r="L26" s="112"/>
      <c r="M26" s="112"/>
      <c r="N26" s="112"/>
      <c r="O26" s="647">
        <v>10000</v>
      </c>
      <c r="P26" s="647">
        <v>10000</v>
      </c>
      <c r="Q26" s="113">
        <v>10000</v>
      </c>
      <c r="R26" s="113">
        <v>10000</v>
      </c>
      <c r="S26" s="113">
        <v>10000</v>
      </c>
      <c r="T26" s="115"/>
      <c r="U26" s="117">
        <v>10000</v>
      </c>
      <c r="V26" s="117">
        <v>10000</v>
      </c>
      <c r="W26" s="117">
        <v>10000</v>
      </c>
      <c r="X26" s="279"/>
      <c r="Y26" s="279"/>
      <c r="Z26" s="280">
        <v>10000</v>
      </c>
      <c r="AA26" s="115"/>
    </row>
    <row r="27" spans="2:27" ht="15" hidden="1">
      <c r="B27" s="60" t="s">
        <v>91</v>
      </c>
      <c r="C27" s="60"/>
      <c r="D27" s="60"/>
      <c r="E27" s="60"/>
      <c r="F27" s="60"/>
      <c r="G27" s="62"/>
      <c r="H27" s="62"/>
      <c r="I27" s="62"/>
      <c r="J27" s="62"/>
      <c r="K27" s="112"/>
      <c r="L27" s="112"/>
      <c r="M27" s="112"/>
      <c r="N27" s="112"/>
      <c r="O27" s="647"/>
      <c r="P27" s="647"/>
      <c r="Q27" s="113"/>
      <c r="R27" s="113"/>
      <c r="S27" s="113"/>
      <c r="T27" s="115"/>
      <c r="U27" s="117"/>
      <c r="V27" s="117"/>
      <c r="W27" s="117"/>
      <c r="X27" s="114"/>
      <c r="Y27" s="114"/>
      <c r="Z27" s="114"/>
      <c r="AA27" s="115"/>
    </row>
    <row r="28" spans="2:27" ht="15" hidden="1">
      <c r="B28" s="60" t="s">
        <v>92</v>
      </c>
      <c r="C28" s="60"/>
      <c r="D28" s="60"/>
      <c r="E28" s="60"/>
      <c r="F28" s="60"/>
      <c r="G28" s="62"/>
      <c r="H28" s="62"/>
      <c r="I28" s="62"/>
      <c r="J28" s="62"/>
      <c r="K28" s="112"/>
      <c r="L28" s="112"/>
      <c r="M28" s="112"/>
      <c r="N28" s="112"/>
      <c r="O28" s="647"/>
      <c r="P28" s="647"/>
      <c r="Q28" s="113"/>
      <c r="R28" s="113"/>
      <c r="S28" s="113"/>
      <c r="T28" s="115"/>
      <c r="U28" s="117"/>
      <c r="V28" s="117"/>
      <c r="W28" s="117"/>
      <c r="X28" s="114"/>
      <c r="Y28" s="114"/>
      <c r="Z28" s="114"/>
      <c r="AA28" s="115"/>
    </row>
    <row r="29" spans="2:27" ht="15.75">
      <c r="B29" s="60" t="s">
        <v>1213</v>
      </c>
      <c r="C29" s="60"/>
      <c r="D29" s="60"/>
      <c r="E29" s="60"/>
      <c r="F29" s="60"/>
      <c r="G29" s="62"/>
      <c r="H29" s="62"/>
      <c r="I29" s="62"/>
      <c r="J29" s="62"/>
      <c r="K29" s="112"/>
      <c r="L29" s="112"/>
      <c r="M29" s="112"/>
      <c r="N29" s="112"/>
      <c r="O29" s="647">
        <v>5000</v>
      </c>
      <c r="P29" s="647">
        <v>5000</v>
      </c>
      <c r="Q29" s="113">
        <v>5000</v>
      </c>
      <c r="R29" s="113">
        <v>5000</v>
      </c>
      <c r="S29" s="113">
        <v>5000</v>
      </c>
      <c r="T29" s="115"/>
      <c r="U29" s="117">
        <v>5000</v>
      </c>
      <c r="V29" s="117">
        <v>5000</v>
      </c>
      <c r="W29" s="117">
        <v>5000</v>
      </c>
      <c r="X29" s="114"/>
      <c r="Y29" s="114"/>
      <c r="Z29" s="114">
        <v>5000</v>
      </c>
      <c r="AA29" s="115"/>
    </row>
    <row r="30" spans="1:27" ht="15.75">
      <c r="A30" s="456" t="s">
        <v>96</v>
      </c>
      <c r="B30" s="60" t="s">
        <v>497</v>
      </c>
      <c r="C30" s="60"/>
      <c r="D30" s="60"/>
      <c r="E30" s="60"/>
      <c r="F30" s="60"/>
      <c r="G30" s="62">
        <v>50000</v>
      </c>
      <c r="H30" s="62"/>
      <c r="I30" s="62"/>
      <c r="J30" s="62"/>
      <c r="K30" s="112"/>
      <c r="L30" s="112"/>
      <c r="M30" s="112"/>
      <c r="N30" s="112"/>
      <c r="O30" s="647">
        <v>15000</v>
      </c>
      <c r="P30" s="647">
        <v>50000</v>
      </c>
      <c r="Q30" s="113">
        <v>50000</v>
      </c>
      <c r="R30" s="113">
        <v>50000</v>
      </c>
      <c r="S30" s="113">
        <v>50000</v>
      </c>
      <c r="T30" s="115"/>
      <c r="U30" s="117">
        <v>50000</v>
      </c>
      <c r="V30" s="117">
        <v>50000</v>
      </c>
      <c r="W30" s="117">
        <v>50000</v>
      </c>
      <c r="X30" s="279"/>
      <c r="Y30" s="279"/>
      <c r="Z30" s="280">
        <v>50000</v>
      </c>
      <c r="AA30" s="115"/>
    </row>
    <row r="31" spans="2:27" ht="15.75">
      <c r="B31" s="60" t="s">
        <v>267</v>
      </c>
      <c r="C31" s="60"/>
      <c r="D31" s="60"/>
      <c r="E31" s="60"/>
      <c r="F31" s="60"/>
      <c r="G31" s="62"/>
      <c r="H31" s="62"/>
      <c r="I31" s="62"/>
      <c r="J31" s="62"/>
      <c r="K31" s="112"/>
      <c r="L31" s="112"/>
      <c r="M31" s="112"/>
      <c r="N31" s="112"/>
      <c r="O31" s="647">
        <v>5000</v>
      </c>
      <c r="P31" s="647">
        <v>5000</v>
      </c>
      <c r="Q31" s="113">
        <v>5000</v>
      </c>
      <c r="R31" s="113">
        <v>5000</v>
      </c>
      <c r="S31" s="113">
        <v>5000</v>
      </c>
      <c r="T31" s="115"/>
      <c r="U31" s="117">
        <v>5000</v>
      </c>
      <c r="V31" s="117">
        <v>5000</v>
      </c>
      <c r="W31" s="117">
        <v>5000</v>
      </c>
      <c r="X31" s="114"/>
      <c r="Y31" s="114"/>
      <c r="Z31" s="114">
        <v>5000</v>
      </c>
      <c r="AA31" s="115"/>
    </row>
    <row r="32" spans="1:27" ht="15.75">
      <c r="A32" s="168" t="s">
        <v>96</v>
      </c>
      <c r="B32" s="60" t="s">
        <v>635</v>
      </c>
      <c r="C32" s="60"/>
      <c r="D32" s="60"/>
      <c r="E32" s="60"/>
      <c r="F32" s="60"/>
      <c r="G32" s="62">
        <v>50000</v>
      </c>
      <c r="H32" s="62"/>
      <c r="I32" s="62"/>
      <c r="J32" s="62"/>
      <c r="K32" s="112"/>
      <c r="L32" s="112"/>
      <c r="M32" s="112"/>
      <c r="N32" s="112"/>
      <c r="O32" s="651">
        <v>0</v>
      </c>
      <c r="P32" s="647">
        <v>50000</v>
      </c>
      <c r="Q32" s="113">
        <v>50000</v>
      </c>
      <c r="R32" s="113">
        <v>50000</v>
      </c>
      <c r="S32" s="113">
        <v>50000</v>
      </c>
      <c r="T32" s="115"/>
      <c r="U32" s="117">
        <v>50000</v>
      </c>
      <c r="V32" s="118">
        <v>50000</v>
      </c>
      <c r="W32" s="117">
        <v>50000</v>
      </c>
      <c r="X32" s="279"/>
      <c r="Y32" s="279"/>
      <c r="Z32" s="280">
        <v>50000</v>
      </c>
      <c r="AA32" s="115"/>
    </row>
    <row r="33" spans="2:27" ht="15" hidden="1">
      <c r="B33" s="60"/>
      <c r="C33" s="60"/>
      <c r="D33" s="60"/>
      <c r="E33" s="60"/>
      <c r="F33" s="60"/>
      <c r="G33" s="62"/>
      <c r="H33" s="62"/>
      <c r="I33" s="62"/>
      <c r="J33" s="62"/>
      <c r="K33" s="112"/>
      <c r="L33" s="112"/>
      <c r="M33" s="112"/>
      <c r="N33" s="112"/>
      <c r="O33" s="647"/>
      <c r="P33" s="647"/>
      <c r="Q33" s="113"/>
      <c r="R33" s="113"/>
      <c r="S33" s="113"/>
      <c r="T33" s="115"/>
      <c r="U33" s="117"/>
      <c r="V33" s="119"/>
      <c r="W33" s="117"/>
      <c r="X33" s="114"/>
      <c r="Y33" s="114"/>
      <c r="Z33" s="114"/>
      <c r="AA33" s="115"/>
    </row>
    <row r="34" spans="2:27" ht="15" hidden="1">
      <c r="B34" s="60" t="s">
        <v>563</v>
      </c>
      <c r="C34" s="60"/>
      <c r="D34" s="60"/>
      <c r="E34" s="60"/>
      <c r="F34" s="60"/>
      <c r="G34" s="62"/>
      <c r="H34" s="62"/>
      <c r="I34" s="62"/>
      <c r="J34" s="62"/>
      <c r="K34" s="112"/>
      <c r="L34" s="112"/>
      <c r="M34" s="112"/>
      <c r="N34" s="112"/>
      <c r="O34" s="647"/>
      <c r="P34" s="647"/>
      <c r="Q34" s="113"/>
      <c r="R34" s="113"/>
      <c r="S34" s="113"/>
      <c r="T34" s="115"/>
      <c r="U34" s="281">
        <v>0</v>
      </c>
      <c r="V34" s="119"/>
      <c r="W34" s="281">
        <v>0</v>
      </c>
      <c r="X34" s="114"/>
      <c r="Y34" s="114"/>
      <c r="Z34" s="282">
        <v>50000</v>
      </c>
      <c r="AA34" s="115"/>
    </row>
    <row r="35" spans="2:27" ht="15.75">
      <c r="B35" s="60" t="s">
        <v>599</v>
      </c>
      <c r="C35" s="60"/>
      <c r="D35" s="60"/>
      <c r="E35" s="60"/>
      <c r="F35" s="60"/>
      <c r="G35" s="62"/>
      <c r="H35" s="62"/>
      <c r="I35" s="62"/>
      <c r="J35" s="62"/>
      <c r="K35" s="112"/>
      <c r="L35" s="112"/>
      <c r="M35" s="112"/>
      <c r="N35" s="112"/>
      <c r="O35" s="647">
        <v>3000</v>
      </c>
      <c r="P35" s="647">
        <v>3000</v>
      </c>
      <c r="Q35" s="113">
        <v>3000</v>
      </c>
      <c r="R35" s="113">
        <v>3000</v>
      </c>
      <c r="S35" s="113">
        <v>3000</v>
      </c>
      <c r="T35" s="115"/>
      <c r="U35" s="118"/>
      <c r="V35" s="119"/>
      <c r="W35" s="118"/>
      <c r="X35" s="114"/>
      <c r="Y35" s="114"/>
      <c r="Z35" s="282"/>
      <c r="AA35" s="115"/>
    </row>
    <row r="36" spans="2:27" ht="15.75">
      <c r="B36" s="60" t="s">
        <v>600</v>
      </c>
      <c r="C36" s="60"/>
      <c r="D36" s="60"/>
      <c r="E36" s="60"/>
      <c r="F36" s="60"/>
      <c r="G36" s="62"/>
      <c r="H36" s="62"/>
      <c r="I36" s="62"/>
      <c r="J36" s="62"/>
      <c r="K36" s="112"/>
      <c r="L36" s="112"/>
      <c r="M36" s="112"/>
      <c r="N36" s="112"/>
      <c r="O36" s="648">
        <v>20000</v>
      </c>
      <c r="P36" s="648">
        <v>20000</v>
      </c>
      <c r="Q36" s="120">
        <v>20000</v>
      </c>
      <c r="R36" s="120">
        <v>20000</v>
      </c>
      <c r="S36" s="120">
        <v>20000</v>
      </c>
      <c r="T36" s="115"/>
      <c r="U36" s="118"/>
      <c r="V36" s="119"/>
      <c r="W36" s="118"/>
      <c r="X36" s="114"/>
      <c r="Y36" s="114"/>
      <c r="Z36" s="282"/>
      <c r="AA36" s="115"/>
    </row>
    <row r="37" spans="2:27" ht="15.75" hidden="1" thickBot="1">
      <c r="B37" s="60" t="s">
        <v>93</v>
      </c>
      <c r="C37" s="60"/>
      <c r="D37" s="60"/>
      <c r="E37" s="60"/>
      <c r="F37" s="60"/>
      <c r="G37" s="62"/>
      <c r="H37" s="63">
        <f>SUM(G19:G33)</f>
        <v>275000</v>
      </c>
      <c r="I37" s="62"/>
      <c r="J37" s="62"/>
      <c r="K37" s="112"/>
      <c r="L37" s="112"/>
      <c r="M37" s="112"/>
      <c r="N37" s="112"/>
      <c r="O37" s="649"/>
      <c r="P37" s="649"/>
      <c r="Q37" s="120"/>
      <c r="R37" s="120"/>
      <c r="S37" s="120"/>
      <c r="T37" s="115"/>
      <c r="U37" s="283"/>
      <c r="V37" s="122">
        <f>SUM(U19:U32)</f>
        <v>285000</v>
      </c>
      <c r="W37" s="115"/>
      <c r="X37" s="282">
        <f>SUM(W19:W33)</f>
        <v>285000</v>
      </c>
      <c r="Y37" s="282"/>
      <c r="Z37" s="282"/>
      <c r="AA37" s="284">
        <f>SUM(Z19:Z34)</f>
        <v>335000</v>
      </c>
    </row>
    <row r="38" spans="2:27" ht="18.75">
      <c r="B38" s="109" t="s">
        <v>94</v>
      </c>
      <c r="C38" s="60"/>
      <c r="D38" s="60"/>
      <c r="E38" s="60"/>
      <c r="F38" s="60"/>
      <c r="G38" s="61"/>
      <c r="H38" s="69">
        <f>+H17+H37</f>
        <v>699792.74</v>
      </c>
      <c r="I38" s="69"/>
      <c r="J38" s="69"/>
      <c r="K38" s="112"/>
      <c r="L38" s="112"/>
      <c r="M38" s="112"/>
      <c r="N38" s="112"/>
      <c r="O38" s="650">
        <f>SUM(O17:O36)</f>
        <v>233000</v>
      </c>
      <c r="P38" s="650">
        <f>SUM(P17:P36)</f>
        <v>318000</v>
      </c>
      <c r="Q38" s="123">
        <f>SUM(Q16:Q37)</f>
        <v>318000</v>
      </c>
      <c r="R38" s="123">
        <f>SUM(R16:R37)</f>
        <v>308000</v>
      </c>
      <c r="S38" s="123">
        <f>SUM(S16:S37)</f>
        <v>308000</v>
      </c>
      <c r="T38" s="115"/>
      <c r="U38" s="124">
        <f>SUM(U19:U32)</f>
        <v>285000</v>
      </c>
      <c r="V38" s="124">
        <f>+V17+V37</f>
        <v>285000</v>
      </c>
      <c r="W38" s="115"/>
      <c r="X38" s="124">
        <f>+X17+X37</f>
        <v>1067620</v>
      </c>
      <c r="Y38" s="124"/>
      <c r="Z38" s="114"/>
      <c r="AA38" s="124">
        <f>SUM(AA17:AA37)</f>
        <v>539917.81</v>
      </c>
    </row>
    <row r="39" spans="2:27" ht="15">
      <c r="B39" s="25"/>
      <c r="C39" s="12"/>
      <c r="D39" s="12"/>
      <c r="E39" s="12"/>
      <c r="F39" s="12"/>
      <c r="G39" s="6"/>
      <c r="H39" s="10"/>
      <c r="I39" s="10"/>
      <c r="J39" s="10"/>
      <c r="X39" s="285"/>
      <c r="Y39" s="285"/>
      <c r="Z39" s="286"/>
      <c r="AA39" s="287"/>
    </row>
    <row r="40" spans="1:26" ht="15.75">
      <c r="A40" s="168" t="s">
        <v>96</v>
      </c>
      <c r="B40" s="523" t="s">
        <v>966</v>
      </c>
      <c r="C40" s="12"/>
      <c r="D40" s="12"/>
      <c r="E40" s="12"/>
      <c r="F40" s="12"/>
      <c r="G40" s="6"/>
      <c r="H40" s="6"/>
      <c r="I40" s="6"/>
      <c r="J40" s="6"/>
      <c r="Z40" s="286"/>
    </row>
    <row r="41" spans="2:26" ht="15.75">
      <c r="B41" s="523" t="s">
        <v>967</v>
      </c>
      <c r="C41" s="12"/>
      <c r="D41" s="12"/>
      <c r="E41" s="12"/>
      <c r="F41" s="12"/>
      <c r="G41" s="6"/>
      <c r="H41" s="6"/>
      <c r="I41" s="6"/>
      <c r="J41" s="6"/>
      <c r="Z41" s="286"/>
    </row>
    <row r="42" spans="2:26" ht="15">
      <c r="B42" s="25"/>
      <c r="C42" s="12"/>
      <c r="D42" s="12"/>
      <c r="E42" s="12"/>
      <c r="F42" s="12"/>
      <c r="G42" s="6"/>
      <c r="H42" s="6"/>
      <c r="I42" s="6"/>
      <c r="J42" s="6"/>
      <c r="P42" s="640">
        <f>O55+O56+O57+O59</f>
        <v>309139722.49999994</v>
      </c>
      <c r="Z42" s="286"/>
    </row>
    <row r="43" spans="2:26" ht="15">
      <c r="B43" s="25"/>
      <c r="C43" s="12"/>
      <c r="D43" s="12"/>
      <c r="E43" s="12"/>
      <c r="F43" s="12"/>
      <c r="G43" s="6"/>
      <c r="H43" s="6"/>
      <c r="I43" s="6"/>
      <c r="J43" s="6"/>
      <c r="P43" s="640">
        <f>O49+O51</f>
        <v>2665213.44</v>
      </c>
      <c r="Q43" s="522" t="s">
        <v>642</v>
      </c>
      <c r="R43" s="217"/>
      <c r="Z43" s="286"/>
    </row>
    <row r="44" spans="2:28" ht="18.75">
      <c r="B44" s="110" t="s">
        <v>496</v>
      </c>
      <c r="C44" s="110"/>
      <c r="D44" s="110"/>
      <c r="E44" s="110"/>
      <c r="F44" s="110"/>
      <c r="G44" s="126"/>
      <c r="H44" s="126"/>
      <c r="I44" s="126" t="s">
        <v>474</v>
      </c>
      <c r="J44" s="126" t="s">
        <v>475</v>
      </c>
      <c r="K44" s="127"/>
      <c r="L44" s="127"/>
      <c r="M44" s="127"/>
      <c r="N44" s="127"/>
      <c r="O44" s="32">
        <v>2023</v>
      </c>
      <c r="P44" s="32">
        <v>2022</v>
      </c>
      <c r="Q44" s="110">
        <v>2021</v>
      </c>
      <c r="R44" s="110">
        <v>2020</v>
      </c>
      <c r="S44" s="110">
        <v>2019</v>
      </c>
      <c r="T44" s="288" t="s">
        <v>575</v>
      </c>
      <c r="U44" s="277">
        <v>2018</v>
      </c>
      <c r="V44" s="288" t="s">
        <v>575</v>
      </c>
      <c r="W44" s="277">
        <v>2017</v>
      </c>
      <c r="X44" s="288" t="s">
        <v>474</v>
      </c>
      <c r="Y44" s="288" t="s">
        <v>475</v>
      </c>
      <c r="Z44" s="277">
        <v>2016</v>
      </c>
      <c r="AA44" s="288" t="s">
        <v>474</v>
      </c>
      <c r="AB44" s="288" t="s">
        <v>475</v>
      </c>
    </row>
    <row r="45" spans="2:26" ht="14.25" hidden="1">
      <c r="B45" s="12" t="s">
        <v>95</v>
      </c>
      <c r="C45" s="12"/>
      <c r="D45" s="12"/>
      <c r="E45" s="12"/>
      <c r="F45" s="12"/>
      <c r="G45" s="6"/>
      <c r="H45" s="6"/>
      <c r="I45" s="6"/>
      <c r="J45" s="6"/>
      <c r="Z45" s="286"/>
    </row>
    <row r="46" spans="2:28" ht="14.25" hidden="1">
      <c r="B46" s="12" t="s">
        <v>97</v>
      </c>
      <c r="C46" s="12"/>
      <c r="D46" s="12"/>
      <c r="E46" s="12"/>
      <c r="F46" s="12"/>
      <c r="G46" s="6"/>
      <c r="H46" s="6">
        <v>54474.94</v>
      </c>
      <c r="I46" s="6"/>
      <c r="J46" s="6"/>
      <c r="Z46" s="286">
        <v>0</v>
      </c>
      <c r="AA46" s="287"/>
      <c r="AB46" s="287"/>
    </row>
    <row r="47" spans="2:28" ht="14.25" hidden="1">
      <c r="B47" s="12" t="s">
        <v>98</v>
      </c>
      <c r="C47" s="12"/>
      <c r="D47" s="12"/>
      <c r="E47" s="12"/>
      <c r="F47" s="12"/>
      <c r="G47" s="6"/>
      <c r="H47" s="6"/>
      <c r="I47" s="6"/>
      <c r="J47" s="6"/>
      <c r="Z47" s="286"/>
      <c r="AA47" s="287"/>
      <c r="AB47" s="287"/>
    </row>
    <row r="48" spans="1:51" s="456" customFormat="1" ht="15.75">
      <c r="A48" s="456" t="s">
        <v>108</v>
      </c>
      <c r="B48" s="60" t="s">
        <v>543</v>
      </c>
      <c r="C48" s="60"/>
      <c r="D48" s="60"/>
      <c r="E48" s="60"/>
      <c r="F48" s="60"/>
      <c r="G48" s="61"/>
      <c r="H48" s="62">
        <v>67492.22</v>
      </c>
      <c r="I48" s="62">
        <v>1525.7</v>
      </c>
      <c r="J48" s="62"/>
      <c r="K48" s="461"/>
      <c r="L48" s="461"/>
      <c r="M48" s="461"/>
      <c r="N48" s="461"/>
      <c r="O48" s="470">
        <f>-5461.22+5461.22</f>
        <v>0</v>
      </c>
      <c r="P48" s="470">
        <v>0</v>
      </c>
      <c r="Q48" s="470">
        <v>-2180.66</v>
      </c>
      <c r="R48" s="459">
        <v>28111.9</v>
      </c>
      <c r="S48" s="218">
        <v>-1533.53</v>
      </c>
      <c r="T48" s="117">
        <v>0</v>
      </c>
      <c r="U48" s="114">
        <v>-299.8</v>
      </c>
      <c r="V48" s="114"/>
      <c r="W48" s="114">
        <v>363123.44</v>
      </c>
      <c r="X48" s="114">
        <v>7468.05</v>
      </c>
      <c r="Y48" s="115"/>
      <c r="Z48" s="114">
        <v>-530.37</v>
      </c>
      <c r="AA48" s="289"/>
      <c r="AB48" s="289"/>
      <c r="AC48" s="115"/>
      <c r="AD48" s="462"/>
      <c r="AE48" s="462"/>
      <c r="AF48" s="462"/>
      <c r="AG48" s="462"/>
      <c r="AM48" s="462"/>
      <c r="AN48" s="462"/>
      <c r="AO48" s="462"/>
      <c r="AP48" s="462"/>
      <c r="AQ48" s="462"/>
      <c r="AR48" s="462"/>
      <c r="AS48" s="462"/>
      <c r="AT48" s="462"/>
      <c r="AU48" s="462"/>
      <c r="AV48" s="462"/>
      <c r="AW48" s="462"/>
      <c r="AX48" s="462"/>
      <c r="AY48" s="462"/>
    </row>
    <row r="49" spans="1:51" s="456" customFormat="1" ht="15.75">
      <c r="A49" s="456" t="s">
        <v>96</v>
      </c>
      <c r="B49" s="60" t="s">
        <v>544</v>
      </c>
      <c r="C49" s="60"/>
      <c r="D49" s="60"/>
      <c r="E49" s="60"/>
      <c r="F49" s="60"/>
      <c r="G49" s="61"/>
      <c r="H49" s="62">
        <v>59632.4</v>
      </c>
      <c r="I49" s="62">
        <v>1357.3</v>
      </c>
      <c r="J49" s="62"/>
      <c r="K49" s="461"/>
      <c r="L49" s="461"/>
      <c r="M49" s="461"/>
      <c r="N49" s="461"/>
      <c r="O49" s="651">
        <v>1360684.73</v>
      </c>
      <c r="P49" s="651">
        <v>1674774.98</v>
      </c>
      <c r="Q49" s="470">
        <v>2033052.92</v>
      </c>
      <c r="R49" s="459">
        <v>2147207.92</v>
      </c>
      <c r="S49" s="459">
        <v>2735709.7</v>
      </c>
      <c r="T49" s="114" t="s">
        <v>603</v>
      </c>
      <c r="U49" s="114">
        <v>654411.15</v>
      </c>
      <c r="V49" s="114" t="s">
        <v>576</v>
      </c>
      <c r="W49" s="114">
        <v>490936.39</v>
      </c>
      <c r="X49" s="114">
        <v>10425.57</v>
      </c>
      <c r="Y49" s="115"/>
      <c r="Z49" s="114">
        <v>-1394.07</v>
      </c>
      <c r="AA49" s="289"/>
      <c r="AB49" s="289"/>
      <c r="AC49" s="115"/>
      <c r="AD49" s="462"/>
      <c r="AE49" s="462"/>
      <c r="AF49" s="462"/>
      <c r="AG49" s="462"/>
      <c r="AM49" s="462"/>
      <c r="AN49" s="524">
        <f>+P55+P60</f>
        <v>2602427</v>
      </c>
      <c r="AO49" s="462"/>
      <c r="AP49" s="462"/>
      <c r="AQ49" s="462"/>
      <c r="AR49" s="462"/>
      <c r="AS49" s="462"/>
      <c r="AT49" s="462"/>
      <c r="AU49" s="462"/>
      <c r="AV49" s="462"/>
      <c r="AW49" s="462"/>
      <c r="AX49" s="462"/>
      <c r="AY49" s="462"/>
    </row>
    <row r="50" spans="1:51" s="456" customFormat="1" ht="15" hidden="1">
      <c r="A50" s="456" t="s">
        <v>96</v>
      </c>
      <c r="B50" s="60" t="s">
        <v>473</v>
      </c>
      <c r="C50" s="60"/>
      <c r="D50" s="60"/>
      <c r="E50" s="60"/>
      <c r="F50" s="60"/>
      <c r="G50" s="61"/>
      <c r="H50" s="62"/>
      <c r="I50" s="62"/>
      <c r="J50" s="62"/>
      <c r="K50" s="461"/>
      <c r="L50" s="461"/>
      <c r="M50" s="461"/>
      <c r="N50" s="461"/>
      <c r="O50" s="651"/>
      <c r="P50" s="651"/>
      <c r="Q50" s="470"/>
      <c r="R50" s="459"/>
      <c r="S50" s="459"/>
      <c r="T50" s="115"/>
      <c r="U50" s="114"/>
      <c r="V50" s="114"/>
      <c r="W50" s="114"/>
      <c r="X50" s="114"/>
      <c r="Y50" s="115"/>
      <c r="Z50" s="114"/>
      <c r="AA50" s="289"/>
      <c r="AB50" s="289"/>
      <c r="AC50" s="115"/>
      <c r="AD50" s="462"/>
      <c r="AE50" s="462"/>
      <c r="AF50" s="462"/>
      <c r="AG50" s="462"/>
      <c r="AM50" s="462"/>
      <c r="AN50" s="462"/>
      <c r="AO50" s="462"/>
      <c r="AP50" s="462"/>
      <c r="AQ50" s="462"/>
      <c r="AR50" s="462"/>
      <c r="AS50" s="462"/>
      <c r="AT50" s="462"/>
      <c r="AU50" s="462"/>
      <c r="AV50" s="462"/>
      <c r="AW50" s="462"/>
      <c r="AX50" s="462"/>
      <c r="AY50" s="462"/>
    </row>
    <row r="51" spans="1:51" s="456" customFormat="1" ht="15.75">
      <c r="A51" s="456" t="s">
        <v>96</v>
      </c>
      <c r="B51" s="60" t="s">
        <v>545</v>
      </c>
      <c r="C51" s="60"/>
      <c r="D51" s="60"/>
      <c r="E51" s="60"/>
      <c r="F51" s="60"/>
      <c r="G51" s="61"/>
      <c r="H51" s="62"/>
      <c r="I51" s="62"/>
      <c r="J51" s="62"/>
      <c r="K51" s="461"/>
      <c r="L51" s="461"/>
      <c r="M51" s="461"/>
      <c r="N51" s="461"/>
      <c r="O51" s="651">
        <v>1304528.71</v>
      </c>
      <c r="P51" s="651">
        <v>1330352.89</v>
      </c>
      <c r="Q51" s="470">
        <v>1352978.15</v>
      </c>
      <c r="R51" s="459">
        <v>1231658.97</v>
      </c>
      <c r="S51" s="459">
        <v>1121927.14</v>
      </c>
      <c r="T51" s="114" t="s">
        <v>578</v>
      </c>
      <c r="U51" s="114">
        <v>1121927.14</v>
      </c>
      <c r="V51" s="114" t="s">
        <v>578</v>
      </c>
      <c r="W51" s="114">
        <v>1085214.06</v>
      </c>
      <c r="X51" s="114">
        <v>23281.81</v>
      </c>
      <c r="Y51" s="115"/>
      <c r="Z51" s="114">
        <v>-32.74</v>
      </c>
      <c r="AA51" s="289"/>
      <c r="AB51" s="289"/>
      <c r="AC51" s="115"/>
      <c r="AD51" s="462"/>
      <c r="AE51" s="462"/>
      <c r="AF51" s="462"/>
      <c r="AG51" s="462"/>
      <c r="AM51" s="462"/>
      <c r="AN51" s="462"/>
      <c r="AO51" s="462"/>
      <c r="AP51" s="462"/>
      <c r="AQ51" s="462"/>
      <c r="AR51" s="462"/>
      <c r="AS51" s="462"/>
      <c r="AT51" s="462"/>
      <c r="AU51" s="462"/>
      <c r="AV51" s="462"/>
      <c r="AW51" s="462"/>
      <c r="AX51" s="462"/>
      <c r="AY51" s="462"/>
    </row>
    <row r="52" spans="1:51" s="456" customFormat="1" ht="15" hidden="1">
      <c r="A52" s="456" t="s">
        <v>96</v>
      </c>
      <c r="B52" s="60" t="s">
        <v>546</v>
      </c>
      <c r="C52" s="60"/>
      <c r="D52" s="60"/>
      <c r="E52" s="60"/>
      <c r="F52" s="60"/>
      <c r="G52" s="61"/>
      <c r="H52" s="62">
        <v>-3560</v>
      </c>
      <c r="I52" s="62"/>
      <c r="J52" s="62">
        <v>0</v>
      </c>
      <c r="K52" s="461"/>
      <c r="L52" s="461"/>
      <c r="M52" s="461"/>
      <c r="N52" s="461"/>
      <c r="O52" s="651"/>
      <c r="P52" s="651"/>
      <c r="Q52" s="470"/>
      <c r="R52" s="459"/>
      <c r="S52" s="459"/>
      <c r="T52" s="115"/>
      <c r="U52" s="114"/>
      <c r="V52" s="114"/>
      <c r="W52" s="114">
        <v>0</v>
      </c>
      <c r="X52" s="114"/>
      <c r="Y52" s="115"/>
      <c r="Z52" s="114">
        <v>87578.23</v>
      </c>
      <c r="AA52" s="289"/>
      <c r="AB52" s="289"/>
      <c r="AC52" s="115"/>
      <c r="AD52" s="462"/>
      <c r="AE52" s="462"/>
      <c r="AF52" s="462"/>
      <c r="AG52" s="462"/>
      <c r="AM52" s="462"/>
      <c r="AN52" s="462"/>
      <c r="AO52" s="462"/>
      <c r="AP52" s="462"/>
      <c r="AQ52" s="462"/>
      <c r="AR52" s="462"/>
      <c r="AS52" s="462"/>
      <c r="AT52" s="462"/>
      <c r="AU52" s="462"/>
      <c r="AV52" s="462"/>
      <c r="AW52" s="462"/>
      <c r="AX52" s="462"/>
      <c r="AY52" s="462"/>
    </row>
    <row r="53" spans="1:51" s="456" customFormat="1" ht="15.75">
      <c r="A53" s="456" t="s">
        <v>108</v>
      </c>
      <c r="B53" s="60" t="s">
        <v>547</v>
      </c>
      <c r="C53" s="60"/>
      <c r="D53" s="60"/>
      <c r="E53" s="60"/>
      <c r="F53" s="60"/>
      <c r="G53" s="61"/>
      <c r="H53" s="62"/>
      <c r="I53" s="62"/>
      <c r="J53" s="62"/>
      <c r="K53" s="461"/>
      <c r="L53" s="461"/>
      <c r="M53" s="461"/>
      <c r="N53" s="461"/>
      <c r="O53" s="651">
        <f>-720.71+720.71</f>
        <v>0</v>
      </c>
      <c r="P53" s="651">
        <v>0</v>
      </c>
      <c r="Q53" s="470">
        <v>0</v>
      </c>
      <c r="R53" s="459">
        <v>3001.61</v>
      </c>
      <c r="S53" s="459">
        <v>111742.48</v>
      </c>
      <c r="T53" s="114" t="s">
        <v>601</v>
      </c>
      <c r="U53" s="114">
        <v>303134.59</v>
      </c>
      <c r="V53" s="114" t="s">
        <v>577</v>
      </c>
      <c r="W53" s="114">
        <v>-916</v>
      </c>
      <c r="X53" s="114"/>
      <c r="Y53" s="115"/>
      <c r="Z53" s="114"/>
      <c r="AA53" s="289"/>
      <c r="AB53" s="289"/>
      <c r="AC53" s="115"/>
      <c r="AD53" s="462"/>
      <c r="AE53" s="462"/>
      <c r="AF53" s="462"/>
      <c r="AG53" s="462"/>
      <c r="AM53" s="462"/>
      <c r="AN53" s="462"/>
      <c r="AO53" s="462"/>
      <c r="AP53" s="462"/>
      <c r="AQ53" s="462"/>
      <c r="AR53" s="462"/>
      <c r="AS53" s="462"/>
      <c r="AT53" s="462"/>
      <c r="AU53" s="462"/>
      <c r="AV53" s="462"/>
      <c r="AW53" s="462"/>
      <c r="AX53" s="462"/>
      <c r="AY53" s="462"/>
    </row>
    <row r="54" spans="1:51" s="456" customFormat="1" ht="15.75">
      <c r="A54" s="456" t="s">
        <v>108</v>
      </c>
      <c r="B54" s="60" t="s">
        <v>548</v>
      </c>
      <c r="C54" s="60"/>
      <c r="D54" s="60"/>
      <c r="E54" s="60"/>
      <c r="F54" s="60"/>
      <c r="G54" s="61"/>
      <c r="H54" s="62">
        <v>459498</v>
      </c>
      <c r="I54" s="62"/>
      <c r="J54" s="62">
        <v>10000</v>
      </c>
      <c r="K54" s="461"/>
      <c r="L54" s="461"/>
      <c r="M54" s="461"/>
      <c r="N54" s="461"/>
      <c r="O54" s="651">
        <f>-1796.56+1796.56</f>
        <v>0</v>
      </c>
      <c r="P54" s="651">
        <v>0</v>
      </c>
      <c r="Q54" s="470">
        <v>-6471.67</v>
      </c>
      <c r="R54" s="459">
        <v>-7759.46</v>
      </c>
      <c r="S54" s="459">
        <v>175769.02</v>
      </c>
      <c r="T54" s="114" t="s">
        <v>602</v>
      </c>
      <c r="U54" s="114">
        <v>-6073.65</v>
      </c>
      <c r="V54" s="114"/>
      <c r="W54" s="114">
        <v>229364</v>
      </c>
      <c r="X54" s="114"/>
      <c r="Y54" s="114">
        <v>5000</v>
      </c>
      <c r="Z54" s="114">
        <v>496795</v>
      </c>
      <c r="AA54" s="289"/>
      <c r="AB54" s="280">
        <v>10000</v>
      </c>
      <c r="AC54" s="115"/>
      <c r="AD54" s="462"/>
      <c r="AE54" s="462"/>
      <c r="AF54" s="462"/>
      <c r="AG54" s="462"/>
      <c r="AM54" s="462"/>
      <c r="AN54" s="462"/>
      <c r="AO54" s="462"/>
      <c r="AP54" s="462"/>
      <c r="AQ54" s="462"/>
      <c r="AR54" s="462"/>
      <c r="AS54" s="462"/>
      <c r="AT54" s="462"/>
      <c r="AU54" s="462"/>
      <c r="AV54" s="462"/>
      <c r="AW54" s="462"/>
      <c r="AX54" s="462"/>
      <c r="AY54" s="462"/>
    </row>
    <row r="55" spans="2:29" ht="15.75">
      <c r="B55" s="60" t="s">
        <v>644</v>
      </c>
      <c r="C55" s="60"/>
      <c r="D55" s="60"/>
      <c r="E55" s="60"/>
      <c r="F55" s="60"/>
      <c r="G55" s="61"/>
      <c r="H55" s="62">
        <v>724682.25</v>
      </c>
      <c r="I55" s="62"/>
      <c r="J55" s="62"/>
      <c r="K55" s="112"/>
      <c r="L55" s="112"/>
      <c r="M55" s="112"/>
      <c r="N55" s="112"/>
      <c r="O55" s="651">
        <v>2460387.09</v>
      </c>
      <c r="P55" s="651">
        <v>2261842.66</v>
      </c>
      <c r="Q55" s="393">
        <v>790574.03</v>
      </c>
      <c r="R55" s="75">
        <v>2674501.3</v>
      </c>
      <c r="S55" s="75">
        <v>86375.3</v>
      </c>
      <c r="T55" s="115"/>
      <c r="U55" s="114">
        <v>2307394.91</v>
      </c>
      <c r="V55" s="114"/>
      <c r="W55" s="114">
        <v>1942922.28</v>
      </c>
      <c r="X55" s="114"/>
      <c r="Y55" s="115"/>
      <c r="Z55" s="114">
        <v>2344150.68</v>
      </c>
      <c r="AA55" s="289"/>
      <c r="AB55" s="289"/>
      <c r="AC55" s="115"/>
    </row>
    <row r="56" spans="1:29" ht="15.75">
      <c r="A56" s="456" t="s">
        <v>96</v>
      </c>
      <c r="B56" s="60" t="s">
        <v>549</v>
      </c>
      <c r="C56" s="60"/>
      <c r="D56" s="60"/>
      <c r="E56" s="60"/>
      <c r="F56" s="60"/>
      <c r="G56" s="61"/>
      <c r="H56" s="62">
        <v>14510353.45</v>
      </c>
      <c r="I56" s="62"/>
      <c r="J56" s="62"/>
      <c r="K56" s="112"/>
      <c r="L56" s="112"/>
      <c r="M56" s="112"/>
      <c r="N56" s="112"/>
      <c r="O56" s="651">
        <v>279003786.32</v>
      </c>
      <c r="P56" s="651">
        <v>300186821.37</v>
      </c>
      <c r="Q56" s="393">
        <v>244081058.19</v>
      </c>
      <c r="R56" s="75">
        <v>161908190.77</v>
      </c>
      <c r="S56" s="75">
        <v>110382899.44</v>
      </c>
      <c r="T56" s="115"/>
      <c r="U56" s="114">
        <v>93285419.53</v>
      </c>
      <c r="V56" s="114"/>
      <c r="W56" s="114">
        <v>65885646.8</v>
      </c>
      <c r="X56" s="114"/>
      <c r="Y56" s="115"/>
      <c r="Z56" s="114">
        <v>22441484.52</v>
      </c>
      <c r="AA56" s="289"/>
      <c r="AB56" s="289"/>
      <c r="AC56" s="115"/>
    </row>
    <row r="57" spans="2:29" ht="15.75">
      <c r="B57" s="60" t="s">
        <v>550</v>
      </c>
      <c r="C57" s="60"/>
      <c r="D57" s="60"/>
      <c r="E57" s="60"/>
      <c r="F57" s="60"/>
      <c r="G57" s="61"/>
      <c r="H57" s="62">
        <v>0</v>
      </c>
      <c r="I57" s="62"/>
      <c r="J57" s="62"/>
      <c r="K57" s="112"/>
      <c r="L57" s="112"/>
      <c r="M57" s="112"/>
      <c r="N57" s="112"/>
      <c r="O57" s="651">
        <v>25474215.26</v>
      </c>
      <c r="P57" s="651">
        <v>20935209.38</v>
      </c>
      <c r="Q57" s="393">
        <v>40647042.02</v>
      </c>
      <c r="R57" s="75">
        <v>36208564.47</v>
      </c>
      <c r="S57" s="75">
        <v>28839361.37</v>
      </c>
      <c r="T57" s="115"/>
      <c r="U57" s="114">
        <v>19651874.8</v>
      </c>
      <c r="V57" s="114"/>
      <c r="W57" s="114">
        <v>4785071.08</v>
      </c>
      <c r="X57" s="114"/>
      <c r="Y57" s="115"/>
      <c r="Z57" s="114">
        <v>3406690.11</v>
      </c>
      <c r="AA57" s="289"/>
      <c r="AB57" s="289"/>
      <c r="AC57" s="115"/>
    </row>
    <row r="58" spans="2:29" ht="15.75">
      <c r="B58" s="60" t="s">
        <v>551</v>
      </c>
      <c r="C58" s="60"/>
      <c r="D58" s="60"/>
      <c r="E58" s="60"/>
      <c r="F58" s="60"/>
      <c r="G58" s="61"/>
      <c r="H58" s="62">
        <v>3893121.87</v>
      </c>
      <c r="I58" s="62"/>
      <c r="J58" s="62"/>
      <c r="K58" s="112"/>
      <c r="L58" s="112"/>
      <c r="M58" s="112"/>
      <c r="N58" s="112"/>
      <c r="O58" s="651"/>
      <c r="P58" s="651">
        <v>497791.37</v>
      </c>
      <c r="Q58" s="393">
        <v>933604.5</v>
      </c>
      <c r="R58" s="75">
        <v>30555.55</v>
      </c>
      <c r="S58" s="75">
        <v>14687985.94</v>
      </c>
      <c r="T58" s="115"/>
      <c r="U58" s="114">
        <v>9698457.32</v>
      </c>
      <c r="V58" s="114"/>
      <c r="W58" s="114">
        <v>12217.5</v>
      </c>
      <c r="X58" s="114"/>
      <c r="Y58" s="115"/>
      <c r="Z58" s="114">
        <v>0</v>
      </c>
      <c r="AA58" s="289"/>
      <c r="AB58" s="289"/>
      <c r="AC58" s="115"/>
    </row>
    <row r="59" spans="2:29" ht="15.75">
      <c r="B59" s="60" t="s">
        <v>552</v>
      </c>
      <c r="C59" s="60"/>
      <c r="D59" s="60"/>
      <c r="E59" s="60"/>
      <c r="F59" s="60"/>
      <c r="G59" s="61"/>
      <c r="H59" s="62">
        <v>5262515.01</v>
      </c>
      <c r="I59" s="62"/>
      <c r="J59" s="62"/>
      <c r="K59" s="112"/>
      <c r="L59" s="112"/>
      <c r="M59" s="112"/>
      <c r="N59" s="112"/>
      <c r="O59" s="651">
        <v>2201333.83</v>
      </c>
      <c r="P59" s="651">
        <v>2209956.81</v>
      </c>
      <c r="Q59" s="393">
        <v>3045717.86</v>
      </c>
      <c r="R59" s="75">
        <v>1528073.8</v>
      </c>
      <c r="S59" s="75">
        <v>7711664.33</v>
      </c>
      <c r="T59" s="115"/>
      <c r="U59" s="114">
        <v>9549222.1</v>
      </c>
      <c r="V59" s="114"/>
      <c r="W59" s="114">
        <v>8984513.56</v>
      </c>
      <c r="X59" s="114"/>
      <c r="Y59" s="115"/>
      <c r="Z59" s="114">
        <v>7153126.81</v>
      </c>
      <c r="AA59" s="289"/>
      <c r="AB59" s="289"/>
      <c r="AC59" s="115"/>
    </row>
    <row r="60" spans="2:29" ht="15.75">
      <c r="B60" s="60" t="s">
        <v>643</v>
      </c>
      <c r="C60" s="60"/>
      <c r="D60" s="60"/>
      <c r="E60" s="60"/>
      <c r="F60" s="60"/>
      <c r="G60" s="61"/>
      <c r="H60" s="62"/>
      <c r="I60" s="62"/>
      <c r="J60" s="62"/>
      <c r="K60" s="447"/>
      <c r="L60" s="447"/>
      <c r="M60" s="447"/>
      <c r="N60" s="447"/>
      <c r="O60" s="651">
        <v>462404.44</v>
      </c>
      <c r="P60" s="652">
        <v>340584.34</v>
      </c>
      <c r="Q60" s="394">
        <v>115395.41</v>
      </c>
      <c r="R60" s="88">
        <v>220467.38</v>
      </c>
      <c r="S60" s="88">
        <v>4437.69</v>
      </c>
      <c r="T60" s="115"/>
      <c r="U60" s="114"/>
      <c r="V60" s="114"/>
      <c r="W60" s="114"/>
      <c r="X60" s="114"/>
      <c r="Y60" s="115"/>
      <c r="Z60" s="114"/>
      <c r="AA60" s="289"/>
      <c r="AB60" s="289"/>
      <c r="AC60" s="115"/>
    </row>
    <row r="61" spans="1:29" ht="15.75">
      <c r="A61" s="168" t="s">
        <v>184</v>
      </c>
      <c r="B61" s="60" t="s">
        <v>663</v>
      </c>
      <c r="O61" s="653">
        <v>4755</v>
      </c>
      <c r="P61" s="653">
        <v>30117</v>
      </c>
      <c r="Q61" s="395">
        <v>17560</v>
      </c>
      <c r="R61" s="85">
        <v>10200</v>
      </c>
      <c r="S61" s="85">
        <v>0</v>
      </c>
      <c r="T61" s="115"/>
      <c r="U61" s="282">
        <v>20926.94</v>
      </c>
      <c r="V61" s="114"/>
      <c r="W61" s="282">
        <v>124771.09</v>
      </c>
      <c r="X61" s="282"/>
      <c r="Y61" s="283"/>
      <c r="Z61" s="282">
        <v>5381.46</v>
      </c>
      <c r="AA61" s="289"/>
      <c r="AB61" s="289"/>
      <c r="AC61" s="115"/>
    </row>
    <row r="62" spans="2:29" ht="18.75">
      <c r="B62" s="109" t="s">
        <v>99</v>
      </c>
      <c r="C62" s="60"/>
      <c r="D62" s="60"/>
      <c r="E62" s="60"/>
      <c r="F62" s="60"/>
      <c r="G62" s="61"/>
      <c r="H62" s="73">
        <f>SUM(H45:H60)</f>
        <v>25028210.14</v>
      </c>
      <c r="I62" s="73"/>
      <c r="J62" s="73"/>
      <c r="K62" s="128"/>
      <c r="L62" s="112"/>
      <c r="M62" s="112"/>
      <c r="N62" s="112"/>
      <c r="O62" s="654">
        <f>SUM(O48:O61)</f>
        <v>312272095.37999994</v>
      </c>
      <c r="P62" s="654">
        <f>SUM(P48:P61)</f>
        <v>329467450.79999995</v>
      </c>
      <c r="Q62" s="123">
        <f>SUM(Q48:Q61)</f>
        <v>293008330.75000006</v>
      </c>
      <c r="R62" s="123">
        <f>SUM(R48:R61)</f>
        <v>205982774.21000004</v>
      </c>
      <c r="S62" s="123">
        <f>SUM(S48:S61)</f>
        <v>165856338.88</v>
      </c>
      <c r="T62" s="115"/>
      <c r="U62" s="124">
        <f>SUM(U48:U61)</f>
        <v>136586395.03</v>
      </c>
      <c r="V62" s="115"/>
      <c r="W62" s="124">
        <f>SUM(W48:W61)</f>
        <v>83902864.2</v>
      </c>
      <c r="X62" s="124">
        <f>SUM(X48:X61)</f>
        <v>41175.43</v>
      </c>
      <c r="Y62" s="124">
        <f>SUM(Y48:Y61)</f>
        <v>5000</v>
      </c>
      <c r="Z62" s="124">
        <f>SUM(Z48:Z61)</f>
        <v>35933249.63</v>
      </c>
      <c r="AA62" s="289"/>
      <c r="AB62" s="289"/>
      <c r="AC62" s="115"/>
    </row>
    <row r="63" spans="2:29" ht="15.75">
      <c r="B63" s="60"/>
      <c r="C63" s="60"/>
      <c r="D63" s="60"/>
      <c r="E63" s="448"/>
      <c r="F63" s="60"/>
      <c r="G63" s="61"/>
      <c r="H63" s="64"/>
      <c r="I63" s="129"/>
      <c r="J63" s="129"/>
      <c r="K63" s="112"/>
      <c r="L63" s="112"/>
      <c r="M63" s="112"/>
      <c r="N63" s="112"/>
      <c r="O63" s="651"/>
      <c r="P63" s="651"/>
      <c r="Q63" s="128"/>
      <c r="R63" s="121"/>
      <c r="S63" s="121"/>
      <c r="T63" s="115"/>
      <c r="U63" s="283"/>
      <c r="V63" s="115"/>
      <c r="W63" s="283"/>
      <c r="X63" s="115"/>
      <c r="Y63" s="115"/>
      <c r="Z63" s="290"/>
      <c r="AA63" s="289"/>
      <c r="AB63" s="289"/>
      <c r="AC63" s="115"/>
    </row>
    <row r="64" spans="2:29" ht="21" thickBot="1">
      <c r="B64" s="182" t="s">
        <v>100</v>
      </c>
      <c r="C64" s="60"/>
      <c r="D64" s="60"/>
      <c r="E64" s="60"/>
      <c r="F64" s="60"/>
      <c r="G64" s="61"/>
      <c r="H64" s="130">
        <f>+H38+H62</f>
        <v>25728002.88</v>
      </c>
      <c r="I64" s="73"/>
      <c r="J64" s="73"/>
      <c r="K64" s="112"/>
      <c r="L64" s="112"/>
      <c r="M64" s="112"/>
      <c r="N64" s="112"/>
      <c r="O64" s="655">
        <f>+O38+O62</f>
        <v>312505095.37999994</v>
      </c>
      <c r="P64" s="655">
        <f>+P38+P62</f>
        <v>329785450.79999995</v>
      </c>
      <c r="Q64" s="171">
        <f>+Q38+Q62</f>
        <v>293326330.75000006</v>
      </c>
      <c r="R64" s="171">
        <f>+R38+R62</f>
        <v>206290774.21000004</v>
      </c>
      <c r="S64" s="171">
        <f>+S38+S62</f>
        <v>166164338.88</v>
      </c>
      <c r="T64" s="115"/>
      <c r="U64" s="291">
        <f>+U62+V38</f>
        <v>136871395.03</v>
      </c>
      <c r="V64" s="115"/>
      <c r="W64" s="292">
        <f>+W62+X38</f>
        <v>84970484.2</v>
      </c>
      <c r="X64" s="115"/>
      <c r="Y64" s="115"/>
      <c r="Z64" s="292">
        <f>+AA38+Z62</f>
        <v>36473167.440000005</v>
      </c>
      <c r="AA64" s="289"/>
      <c r="AB64" s="289"/>
      <c r="AC64" s="115"/>
    </row>
    <row r="65" spans="2:29" ht="16.5" thickTop="1">
      <c r="B65" s="60"/>
      <c r="C65" s="60"/>
      <c r="D65" s="60"/>
      <c r="E65" s="60"/>
      <c r="F65" s="60"/>
      <c r="G65" s="61"/>
      <c r="H65" s="61"/>
      <c r="I65" s="61"/>
      <c r="J65" s="61"/>
      <c r="K65" s="112"/>
      <c r="L65" s="112"/>
      <c r="M65" s="112"/>
      <c r="N65" s="112"/>
      <c r="O65" s="461"/>
      <c r="P65" s="128"/>
      <c r="Q65" s="128"/>
      <c r="R65" s="112"/>
      <c r="S65" s="112"/>
      <c r="T65" s="115"/>
      <c r="U65" s="115"/>
      <c r="V65" s="115"/>
      <c r="W65" s="115"/>
      <c r="X65" s="115"/>
      <c r="Y65" s="115"/>
      <c r="Z65" s="114"/>
      <c r="AA65" s="289"/>
      <c r="AB65" s="289"/>
      <c r="AC65" s="115"/>
    </row>
    <row r="66" spans="1:28" ht="16.5" thickBot="1">
      <c r="A66" s="3" t="s">
        <v>96</v>
      </c>
      <c r="B66" s="523" t="s">
        <v>645</v>
      </c>
      <c r="C66" s="173"/>
      <c r="D66" s="173"/>
      <c r="E66" s="173"/>
      <c r="F66" s="174"/>
      <c r="G66" s="175"/>
      <c r="H66" s="175"/>
      <c r="I66" s="175"/>
      <c r="J66" s="175"/>
      <c r="K66" s="176"/>
      <c r="L66" s="176"/>
      <c r="M66" s="176"/>
      <c r="N66" s="176"/>
      <c r="O66" s="176"/>
      <c r="P66" s="176"/>
      <c r="Q66" s="176"/>
      <c r="R66" s="176"/>
      <c r="S66" s="171"/>
      <c r="Z66" s="286"/>
      <c r="AA66" s="287"/>
      <c r="AB66" s="287"/>
    </row>
    <row r="67" spans="2:29" ht="16.5" thickTop="1">
      <c r="B67" s="523" t="s">
        <v>646</v>
      </c>
      <c r="C67" s="177"/>
      <c r="D67" s="177"/>
      <c r="E67" s="177"/>
      <c r="F67" s="178"/>
      <c r="G67" s="179"/>
      <c r="H67" s="179"/>
      <c r="I67" s="179"/>
      <c r="J67" s="179"/>
      <c r="K67" s="180"/>
      <c r="L67" s="180"/>
      <c r="M67" s="180"/>
      <c r="N67" s="180"/>
      <c r="O67" s="180"/>
      <c r="P67" s="180"/>
      <c r="Q67" s="180"/>
      <c r="R67" s="180"/>
      <c r="S67" s="180"/>
      <c r="T67" s="115"/>
      <c r="U67" s="115"/>
      <c r="V67" s="115"/>
      <c r="W67" s="115"/>
      <c r="X67" s="115"/>
      <c r="Y67" s="115"/>
      <c r="Z67" s="114"/>
      <c r="AA67" s="289"/>
      <c r="AB67" s="289"/>
      <c r="AC67" s="115"/>
    </row>
    <row r="68" spans="2:29" ht="15.75">
      <c r="B68" s="523" t="s">
        <v>968</v>
      </c>
      <c r="C68" s="177"/>
      <c r="D68" s="177"/>
      <c r="E68" s="177"/>
      <c r="F68" s="178"/>
      <c r="G68" s="179"/>
      <c r="H68" s="179"/>
      <c r="I68" s="179"/>
      <c r="J68" s="179"/>
      <c r="K68" s="180"/>
      <c r="L68" s="180"/>
      <c r="M68" s="180"/>
      <c r="N68" s="180"/>
      <c r="O68" s="180"/>
      <c r="P68" s="180"/>
      <c r="Q68" s="180"/>
      <c r="R68" s="180"/>
      <c r="S68" s="180"/>
      <c r="T68" s="115"/>
      <c r="U68" s="115"/>
      <c r="V68" s="115"/>
      <c r="W68" s="115"/>
      <c r="X68" s="115"/>
      <c r="Y68" s="115"/>
      <c r="Z68" s="114"/>
      <c r="AA68" s="289"/>
      <c r="AB68" s="289"/>
      <c r="AC68" s="115"/>
    </row>
    <row r="69" spans="2:29" ht="15.75">
      <c r="B69" s="523" t="s">
        <v>969</v>
      </c>
      <c r="C69" s="177"/>
      <c r="D69" s="177"/>
      <c r="E69" s="177"/>
      <c r="F69" s="178"/>
      <c r="G69" s="179"/>
      <c r="H69" s="179"/>
      <c r="I69" s="179"/>
      <c r="J69" s="179"/>
      <c r="K69" s="180"/>
      <c r="L69" s="180"/>
      <c r="M69" s="180"/>
      <c r="N69" s="180"/>
      <c r="O69" s="180"/>
      <c r="P69" s="180"/>
      <c r="Q69" s="180"/>
      <c r="R69" s="180"/>
      <c r="S69" s="180"/>
      <c r="T69" s="115"/>
      <c r="U69" s="115"/>
      <c r="V69" s="115"/>
      <c r="W69" s="115"/>
      <c r="X69" s="115"/>
      <c r="Y69" s="115"/>
      <c r="Z69" s="114"/>
      <c r="AA69" s="289"/>
      <c r="AB69" s="289"/>
      <c r="AC69" s="115"/>
    </row>
    <row r="70" spans="2:29" ht="15.75">
      <c r="B70" s="523"/>
      <c r="C70" s="177"/>
      <c r="D70" s="177"/>
      <c r="E70" s="177"/>
      <c r="F70" s="178"/>
      <c r="G70" s="179"/>
      <c r="H70" s="179"/>
      <c r="I70" s="179"/>
      <c r="J70" s="179"/>
      <c r="K70" s="180"/>
      <c r="L70" s="180"/>
      <c r="M70" s="180"/>
      <c r="N70" s="180"/>
      <c r="O70" s="180"/>
      <c r="P70" s="180"/>
      <c r="Q70" s="180"/>
      <c r="R70" s="180"/>
      <c r="S70" s="180"/>
      <c r="T70" s="115"/>
      <c r="U70" s="115"/>
      <c r="V70" s="115"/>
      <c r="W70" s="115"/>
      <c r="X70" s="115"/>
      <c r="Y70" s="115"/>
      <c r="Z70" s="114"/>
      <c r="AA70" s="289"/>
      <c r="AB70" s="289"/>
      <c r="AC70" s="115"/>
    </row>
    <row r="71" spans="2:51" s="456" customFormat="1" ht="15.75">
      <c r="B71" s="523"/>
      <c r="C71" s="177"/>
      <c r="D71" s="177"/>
      <c r="E71" s="177"/>
      <c r="F71" s="178"/>
      <c r="G71" s="179"/>
      <c r="H71" s="179"/>
      <c r="I71" s="179"/>
      <c r="J71" s="179"/>
      <c r="K71" s="180"/>
      <c r="L71" s="180"/>
      <c r="M71" s="180"/>
      <c r="N71" s="180"/>
      <c r="O71" s="180"/>
      <c r="P71" s="180"/>
      <c r="Q71" s="180"/>
      <c r="R71" s="180"/>
      <c r="S71" s="180"/>
      <c r="T71" s="115"/>
      <c r="U71" s="115"/>
      <c r="V71" s="115"/>
      <c r="W71" s="115"/>
      <c r="X71" s="115"/>
      <c r="Y71" s="115"/>
      <c r="Z71" s="114"/>
      <c r="AA71" s="289"/>
      <c r="AB71" s="289"/>
      <c r="AC71" s="115"/>
      <c r="AD71" s="462"/>
      <c r="AE71" s="462"/>
      <c r="AF71" s="462"/>
      <c r="AG71" s="462"/>
      <c r="AM71" s="462"/>
      <c r="AN71" s="332"/>
      <c r="AO71" s="462"/>
      <c r="AP71" s="462"/>
      <c r="AQ71" s="462"/>
      <c r="AR71" s="462"/>
      <c r="AS71" s="462"/>
      <c r="AT71" s="462"/>
      <c r="AU71" s="462"/>
      <c r="AV71" s="462"/>
      <c r="AW71" s="462"/>
      <c r="AX71" s="462"/>
      <c r="AY71" s="462"/>
    </row>
    <row r="72" spans="1:51" s="456" customFormat="1" ht="15.75">
      <c r="A72" s="456" t="s">
        <v>96</v>
      </c>
      <c r="B72" s="523" t="s">
        <v>1207</v>
      </c>
      <c r="C72" s="177"/>
      <c r="D72" s="177"/>
      <c r="E72" s="177"/>
      <c r="F72" s="178"/>
      <c r="G72" s="179"/>
      <c r="H72" s="179"/>
      <c r="I72" s="179"/>
      <c r="J72" s="179"/>
      <c r="K72" s="180"/>
      <c r="L72" s="180"/>
      <c r="M72" s="180"/>
      <c r="N72" s="180"/>
      <c r="O72" s="180"/>
      <c r="P72" s="180"/>
      <c r="Q72" s="180"/>
      <c r="R72" s="180"/>
      <c r="S72" s="180"/>
      <c r="T72" s="115"/>
      <c r="U72" s="115"/>
      <c r="V72" s="115"/>
      <c r="W72" s="115"/>
      <c r="X72" s="115"/>
      <c r="Y72" s="115"/>
      <c r="Z72" s="114"/>
      <c r="AA72" s="289"/>
      <c r="AB72" s="289"/>
      <c r="AC72" s="115"/>
      <c r="AD72" s="462"/>
      <c r="AE72" s="462"/>
      <c r="AF72" s="462"/>
      <c r="AG72" s="462"/>
      <c r="AM72" s="462"/>
      <c r="AN72" s="332"/>
      <c r="AO72" s="462"/>
      <c r="AP72" s="462"/>
      <c r="AQ72" s="462"/>
      <c r="AR72" s="462"/>
      <c r="AS72" s="462"/>
      <c r="AT72" s="462"/>
      <c r="AU72" s="462"/>
      <c r="AV72" s="462"/>
      <c r="AW72" s="462"/>
      <c r="AX72" s="462"/>
      <c r="AY72" s="462"/>
    </row>
    <row r="73" spans="2:51" s="456" customFormat="1" ht="15.75">
      <c r="B73" s="523" t="s">
        <v>1206</v>
      </c>
      <c r="C73" s="177"/>
      <c r="D73" s="177"/>
      <c r="E73" s="177"/>
      <c r="F73" s="178"/>
      <c r="G73" s="179"/>
      <c r="H73" s="179"/>
      <c r="I73" s="179"/>
      <c r="J73" s="179"/>
      <c r="K73" s="180"/>
      <c r="L73" s="180"/>
      <c r="M73" s="180"/>
      <c r="N73" s="180"/>
      <c r="O73" s="180"/>
      <c r="P73" s="180"/>
      <c r="Q73" s="180"/>
      <c r="R73" s="180"/>
      <c r="S73" s="180"/>
      <c r="T73" s="115"/>
      <c r="U73" s="115"/>
      <c r="V73" s="115"/>
      <c r="W73" s="115"/>
      <c r="X73" s="115"/>
      <c r="Y73" s="115"/>
      <c r="Z73" s="114"/>
      <c r="AA73" s="289"/>
      <c r="AB73" s="289"/>
      <c r="AC73" s="115"/>
      <c r="AD73" s="462"/>
      <c r="AE73" s="462"/>
      <c r="AF73" s="462"/>
      <c r="AG73" s="462"/>
      <c r="AM73" s="462"/>
      <c r="AN73" s="332"/>
      <c r="AO73" s="462"/>
      <c r="AP73" s="462"/>
      <c r="AQ73" s="462"/>
      <c r="AR73" s="462"/>
      <c r="AS73" s="462"/>
      <c r="AT73" s="462"/>
      <c r="AU73" s="462"/>
      <c r="AV73" s="462"/>
      <c r="AW73" s="462"/>
      <c r="AX73" s="462"/>
      <c r="AY73" s="462"/>
    </row>
    <row r="74" spans="2:51" s="456" customFormat="1" ht="15.75">
      <c r="B74" s="523"/>
      <c r="C74" s="177"/>
      <c r="D74" s="177"/>
      <c r="E74" s="177"/>
      <c r="F74" s="178"/>
      <c r="G74" s="179"/>
      <c r="H74" s="179"/>
      <c r="I74" s="179"/>
      <c r="J74" s="179"/>
      <c r="K74" s="180"/>
      <c r="L74" s="180"/>
      <c r="M74" s="180"/>
      <c r="N74" s="180"/>
      <c r="O74" s="180"/>
      <c r="P74" s="180"/>
      <c r="Q74" s="180"/>
      <c r="R74" s="180"/>
      <c r="S74" s="180"/>
      <c r="T74" s="115"/>
      <c r="U74" s="115"/>
      <c r="V74" s="115"/>
      <c r="W74" s="115"/>
      <c r="X74" s="115"/>
      <c r="Y74" s="115"/>
      <c r="Z74" s="114"/>
      <c r="AA74" s="289"/>
      <c r="AB74" s="289"/>
      <c r="AC74" s="115"/>
      <c r="AD74" s="462"/>
      <c r="AE74" s="462"/>
      <c r="AF74" s="462"/>
      <c r="AG74" s="462"/>
      <c r="AM74" s="462"/>
      <c r="AN74" s="332"/>
      <c r="AO74" s="462"/>
      <c r="AP74" s="462"/>
      <c r="AQ74" s="462"/>
      <c r="AR74" s="462"/>
      <c r="AS74" s="462"/>
      <c r="AT74" s="462"/>
      <c r="AU74" s="462"/>
      <c r="AV74" s="462"/>
      <c r="AW74" s="462"/>
      <c r="AX74" s="462"/>
      <c r="AY74" s="462"/>
    </row>
    <row r="75" spans="2:51" s="456" customFormat="1" ht="15.75">
      <c r="B75" s="523"/>
      <c r="C75" s="177"/>
      <c r="D75" s="177"/>
      <c r="E75" s="177"/>
      <c r="F75" s="178"/>
      <c r="G75" s="179"/>
      <c r="H75" s="179"/>
      <c r="I75" s="179"/>
      <c r="J75" s="179"/>
      <c r="K75" s="180"/>
      <c r="L75" s="180"/>
      <c r="M75" s="180"/>
      <c r="N75" s="180"/>
      <c r="O75" s="180"/>
      <c r="P75" s="180"/>
      <c r="Q75" s="180"/>
      <c r="R75" s="180"/>
      <c r="S75" s="180"/>
      <c r="T75" s="115"/>
      <c r="U75" s="115"/>
      <c r="V75" s="115"/>
      <c r="W75" s="115"/>
      <c r="X75" s="115"/>
      <c r="Y75" s="115"/>
      <c r="Z75" s="114"/>
      <c r="AA75" s="289"/>
      <c r="AB75" s="289"/>
      <c r="AC75" s="115"/>
      <c r="AD75" s="462"/>
      <c r="AE75" s="462"/>
      <c r="AF75" s="462"/>
      <c r="AG75" s="462"/>
      <c r="AM75" s="462"/>
      <c r="AN75" s="332"/>
      <c r="AO75" s="462"/>
      <c r="AP75" s="462"/>
      <c r="AQ75" s="462"/>
      <c r="AR75" s="462"/>
      <c r="AS75" s="462"/>
      <c r="AT75" s="462"/>
      <c r="AU75" s="462"/>
      <c r="AV75" s="462"/>
      <c r="AW75" s="462"/>
      <c r="AX75" s="462"/>
      <c r="AY75" s="462"/>
    </row>
    <row r="76" spans="1:26" ht="16.5">
      <c r="A76" s="3" t="s">
        <v>108</v>
      </c>
      <c r="B76" s="523" t="s">
        <v>1208</v>
      </c>
      <c r="C76" s="172"/>
      <c r="D76" s="172"/>
      <c r="E76" s="172"/>
      <c r="F76" s="181"/>
      <c r="G76" s="181"/>
      <c r="H76" s="181"/>
      <c r="I76" s="181"/>
      <c r="J76" s="181"/>
      <c r="K76" s="181"/>
      <c r="L76" s="181"/>
      <c r="M76" s="181"/>
      <c r="N76" s="181"/>
      <c r="O76" s="181"/>
      <c r="P76" s="181"/>
      <c r="Q76" s="181"/>
      <c r="R76" s="181"/>
      <c r="S76" s="181"/>
      <c r="T76" s="293"/>
      <c r="U76" s="293"/>
      <c r="V76" s="293"/>
      <c r="Z76" s="286"/>
    </row>
    <row r="77" spans="2:26" ht="16.5">
      <c r="B77" s="523" t="s">
        <v>970</v>
      </c>
      <c r="C77" s="172"/>
      <c r="D77" s="172"/>
      <c r="E77" s="172"/>
      <c r="F77" s="181"/>
      <c r="G77" s="181"/>
      <c r="H77" s="181"/>
      <c r="I77" s="181"/>
      <c r="J77" s="181"/>
      <c r="K77" s="181"/>
      <c r="L77" s="181"/>
      <c r="M77" s="181"/>
      <c r="N77" s="181"/>
      <c r="O77" s="181"/>
      <c r="P77" s="181"/>
      <c r="Q77" s="181"/>
      <c r="R77" s="181"/>
      <c r="S77" s="181"/>
      <c r="T77" s="293"/>
      <c r="U77" s="293"/>
      <c r="V77" s="293"/>
      <c r="Z77" s="286"/>
    </row>
    <row r="78" spans="2:26" ht="16.5">
      <c r="B78" s="523" t="s">
        <v>973</v>
      </c>
      <c r="C78" s="172"/>
      <c r="D78" s="172"/>
      <c r="E78" s="172"/>
      <c r="F78" s="181"/>
      <c r="G78" s="181"/>
      <c r="H78" s="181"/>
      <c r="I78" s="181"/>
      <c r="J78" s="181"/>
      <c r="K78" s="181"/>
      <c r="L78" s="181"/>
      <c r="M78" s="181"/>
      <c r="N78" s="181"/>
      <c r="O78" s="181"/>
      <c r="P78" s="181"/>
      <c r="Q78" s="181"/>
      <c r="R78" s="181"/>
      <c r="S78" s="181"/>
      <c r="T78" s="293"/>
      <c r="U78" s="293"/>
      <c r="V78" s="293"/>
      <c r="Z78" s="286"/>
    </row>
    <row r="79" spans="2:26" ht="16.5">
      <c r="B79" s="523" t="s">
        <v>971</v>
      </c>
      <c r="C79" s="172"/>
      <c r="D79" s="172"/>
      <c r="E79" s="172"/>
      <c r="F79" s="181"/>
      <c r="G79" s="181"/>
      <c r="H79" s="181"/>
      <c r="I79" s="181"/>
      <c r="J79" s="181"/>
      <c r="K79" s="181"/>
      <c r="L79" s="181"/>
      <c r="M79" s="181"/>
      <c r="N79" s="181"/>
      <c r="O79" s="181"/>
      <c r="P79" s="181"/>
      <c r="Q79" s="181"/>
      <c r="R79" s="181"/>
      <c r="S79" s="181"/>
      <c r="T79" s="293"/>
      <c r="U79" s="293"/>
      <c r="V79" s="293"/>
      <c r="Z79" s="286"/>
    </row>
    <row r="80" spans="2:26" ht="15.75">
      <c r="B80" s="523" t="s">
        <v>972</v>
      </c>
      <c r="C80" s="173"/>
      <c r="D80" s="173"/>
      <c r="E80" s="173"/>
      <c r="F80" s="174"/>
      <c r="G80" s="175"/>
      <c r="H80" s="175"/>
      <c r="I80" s="175"/>
      <c r="J80" s="175"/>
      <c r="K80" s="176"/>
      <c r="L80" s="176"/>
      <c r="M80" s="176"/>
      <c r="N80" s="176"/>
      <c r="O80" s="176"/>
      <c r="P80" s="176"/>
      <c r="Q80" s="176"/>
      <c r="R80" s="176"/>
      <c r="S80" s="176"/>
      <c r="Z80" s="286"/>
    </row>
    <row r="81" spans="2:26" ht="16.5">
      <c r="B81" s="172"/>
      <c r="C81" s="173"/>
      <c r="D81" s="173"/>
      <c r="E81" s="173"/>
      <c r="F81" s="174"/>
      <c r="G81" s="175"/>
      <c r="H81" s="175"/>
      <c r="I81" s="175"/>
      <c r="J81" s="175"/>
      <c r="K81" s="176"/>
      <c r="L81" s="176"/>
      <c r="M81" s="176"/>
      <c r="N81" s="176"/>
      <c r="O81" s="176"/>
      <c r="P81" s="176"/>
      <c r="Q81" s="176"/>
      <c r="R81" s="176"/>
      <c r="S81" s="176"/>
      <c r="Z81" s="286"/>
    </row>
    <row r="82" spans="1:51" s="168" customFormat="1" ht="15.75">
      <c r="A82" s="168" t="s">
        <v>108</v>
      </c>
      <c r="B82" s="523" t="s">
        <v>1209</v>
      </c>
      <c r="C82" s="173"/>
      <c r="D82" s="173"/>
      <c r="E82" s="173"/>
      <c r="F82" s="174"/>
      <c r="G82" s="175"/>
      <c r="H82" s="175"/>
      <c r="I82" s="175"/>
      <c r="J82" s="175"/>
      <c r="K82" s="176"/>
      <c r="L82" s="176"/>
      <c r="M82" s="176"/>
      <c r="N82" s="176"/>
      <c r="O82" s="176"/>
      <c r="P82" s="176"/>
      <c r="Q82" s="176"/>
      <c r="R82" s="176"/>
      <c r="S82" s="176"/>
      <c r="T82" s="125"/>
      <c r="U82" s="125"/>
      <c r="V82" s="125"/>
      <c r="W82" s="125"/>
      <c r="X82" s="125"/>
      <c r="Y82" s="125"/>
      <c r="Z82" s="286"/>
      <c r="AA82" s="125"/>
      <c r="AB82" s="125"/>
      <c r="AC82" s="125"/>
      <c r="AD82" s="125"/>
      <c r="AE82" s="125"/>
      <c r="AF82" s="125"/>
      <c r="AG82" s="125"/>
      <c r="AM82" s="125"/>
      <c r="AN82" s="332"/>
      <c r="AO82" s="462"/>
      <c r="AP82" s="462"/>
      <c r="AQ82" s="462"/>
      <c r="AR82" s="462"/>
      <c r="AS82" s="462"/>
      <c r="AT82" s="462"/>
      <c r="AU82" s="462"/>
      <c r="AV82" s="462"/>
      <c r="AW82" s="462"/>
      <c r="AX82" s="462"/>
      <c r="AY82" s="462"/>
    </row>
    <row r="83" spans="2:51" s="168" customFormat="1" ht="15.75">
      <c r="B83" s="523" t="s">
        <v>974</v>
      </c>
      <c r="C83" s="173"/>
      <c r="D83" s="173"/>
      <c r="E83" s="173"/>
      <c r="F83" s="174"/>
      <c r="G83" s="175"/>
      <c r="H83" s="175"/>
      <c r="I83" s="175"/>
      <c r="J83" s="175"/>
      <c r="K83" s="176"/>
      <c r="L83" s="176"/>
      <c r="M83" s="176"/>
      <c r="N83" s="176"/>
      <c r="O83" s="176"/>
      <c r="P83" s="176"/>
      <c r="Q83" s="176"/>
      <c r="R83" s="176"/>
      <c r="S83" s="176"/>
      <c r="T83" s="125"/>
      <c r="U83" s="125"/>
      <c r="V83" s="125"/>
      <c r="W83" s="125"/>
      <c r="X83" s="125"/>
      <c r="Y83" s="125"/>
      <c r="Z83" s="286"/>
      <c r="AA83" s="125"/>
      <c r="AB83" s="125"/>
      <c r="AC83" s="125"/>
      <c r="AD83" s="125"/>
      <c r="AE83" s="125"/>
      <c r="AF83" s="125"/>
      <c r="AG83" s="125"/>
      <c r="AM83" s="125"/>
      <c r="AN83" s="332"/>
      <c r="AO83" s="462"/>
      <c r="AP83" s="462"/>
      <c r="AQ83" s="462"/>
      <c r="AR83" s="462"/>
      <c r="AS83" s="462"/>
      <c r="AT83" s="462"/>
      <c r="AU83" s="462"/>
      <c r="AV83" s="462"/>
      <c r="AW83" s="462"/>
      <c r="AX83" s="462"/>
      <c r="AY83" s="462"/>
    </row>
    <row r="84" spans="2:51" s="168" customFormat="1" ht="15.75">
      <c r="B84" s="523" t="s">
        <v>975</v>
      </c>
      <c r="C84" s="173"/>
      <c r="D84" s="173"/>
      <c r="E84" s="173"/>
      <c r="F84" s="174"/>
      <c r="G84" s="175"/>
      <c r="H84" s="175"/>
      <c r="I84" s="175"/>
      <c r="J84" s="175"/>
      <c r="K84" s="176"/>
      <c r="L84" s="176"/>
      <c r="M84" s="176"/>
      <c r="N84" s="176"/>
      <c r="O84" s="176"/>
      <c r="P84" s="176"/>
      <c r="Q84" s="176"/>
      <c r="R84" s="176"/>
      <c r="S84" s="176"/>
      <c r="T84" s="125"/>
      <c r="U84" s="125"/>
      <c r="V84" s="125"/>
      <c r="W84" s="125"/>
      <c r="X84" s="125"/>
      <c r="Y84" s="125"/>
      <c r="Z84" s="286"/>
      <c r="AA84" s="125"/>
      <c r="AB84" s="125"/>
      <c r="AC84" s="125"/>
      <c r="AD84" s="125"/>
      <c r="AE84" s="125"/>
      <c r="AF84" s="125"/>
      <c r="AG84" s="125"/>
      <c r="AM84" s="125"/>
      <c r="AN84" s="332"/>
      <c r="AO84" s="462"/>
      <c r="AP84" s="462"/>
      <c r="AQ84" s="462"/>
      <c r="AR84" s="462"/>
      <c r="AS84" s="462"/>
      <c r="AT84" s="462"/>
      <c r="AU84" s="462"/>
      <c r="AV84" s="462"/>
      <c r="AW84" s="462"/>
      <c r="AX84" s="462"/>
      <c r="AY84" s="462"/>
    </row>
    <row r="85" spans="2:51" s="168" customFormat="1" ht="15.75">
      <c r="B85" s="523" t="s">
        <v>976</v>
      </c>
      <c r="C85" s="173"/>
      <c r="D85" s="173"/>
      <c r="E85" s="173"/>
      <c r="F85" s="174"/>
      <c r="G85" s="175"/>
      <c r="H85" s="175"/>
      <c r="I85" s="175"/>
      <c r="J85" s="175"/>
      <c r="K85" s="176"/>
      <c r="L85" s="176"/>
      <c r="M85" s="176"/>
      <c r="N85" s="176"/>
      <c r="O85" s="176"/>
      <c r="P85" s="176"/>
      <c r="Q85" s="176"/>
      <c r="R85" s="176"/>
      <c r="S85" s="176"/>
      <c r="T85" s="125"/>
      <c r="U85" s="125"/>
      <c r="V85" s="125"/>
      <c r="W85" s="125"/>
      <c r="X85" s="125"/>
      <c r="Y85" s="125"/>
      <c r="Z85" s="286"/>
      <c r="AA85" s="125"/>
      <c r="AB85" s="125"/>
      <c r="AC85" s="125"/>
      <c r="AD85" s="125"/>
      <c r="AE85" s="125"/>
      <c r="AF85" s="125"/>
      <c r="AG85" s="125"/>
      <c r="AM85" s="125"/>
      <c r="AN85" s="332"/>
      <c r="AO85" s="462"/>
      <c r="AP85" s="462"/>
      <c r="AQ85" s="462"/>
      <c r="AR85" s="462"/>
      <c r="AS85" s="462"/>
      <c r="AT85" s="462"/>
      <c r="AU85" s="462"/>
      <c r="AV85" s="462"/>
      <c r="AW85" s="462"/>
      <c r="AX85" s="462"/>
      <c r="AY85" s="462"/>
    </row>
    <row r="86" spans="2:51" s="456" customFormat="1" ht="15.75">
      <c r="B86" s="523" t="s">
        <v>977</v>
      </c>
      <c r="C86" s="173"/>
      <c r="D86" s="173"/>
      <c r="E86" s="173"/>
      <c r="F86" s="174"/>
      <c r="G86" s="175"/>
      <c r="H86" s="175"/>
      <c r="I86" s="175"/>
      <c r="J86" s="175"/>
      <c r="K86" s="176"/>
      <c r="L86" s="176"/>
      <c r="M86" s="176"/>
      <c r="N86" s="176"/>
      <c r="O86" s="176"/>
      <c r="P86" s="176"/>
      <c r="Q86" s="176"/>
      <c r="R86" s="176"/>
      <c r="S86" s="176"/>
      <c r="T86" s="462"/>
      <c r="U86" s="462"/>
      <c r="V86" s="462"/>
      <c r="W86" s="462"/>
      <c r="X86" s="462"/>
      <c r="Y86" s="462"/>
      <c r="Z86" s="286"/>
      <c r="AA86" s="462"/>
      <c r="AB86" s="462"/>
      <c r="AC86" s="462"/>
      <c r="AD86" s="462"/>
      <c r="AE86" s="462"/>
      <c r="AF86" s="462"/>
      <c r="AG86" s="462"/>
      <c r="AM86" s="462"/>
      <c r="AN86" s="332"/>
      <c r="AO86" s="462"/>
      <c r="AP86" s="462"/>
      <c r="AQ86" s="462"/>
      <c r="AR86" s="462"/>
      <c r="AS86" s="462"/>
      <c r="AT86" s="462"/>
      <c r="AU86" s="462"/>
      <c r="AV86" s="462"/>
      <c r="AW86" s="462"/>
      <c r="AX86" s="462"/>
      <c r="AY86" s="462"/>
    </row>
    <row r="87" spans="2:51" s="456" customFormat="1" ht="15.75">
      <c r="B87" s="523" t="s">
        <v>978</v>
      </c>
      <c r="C87" s="173"/>
      <c r="D87" s="173"/>
      <c r="E87" s="173"/>
      <c r="F87" s="174"/>
      <c r="G87" s="175"/>
      <c r="H87" s="175"/>
      <c r="I87" s="175"/>
      <c r="J87" s="175"/>
      <c r="K87" s="176"/>
      <c r="L87" s="176"/>
      <c r="M87" s="176"/>
      <c r="N87" s="176"/>
      <c r="O87" s="176"/>
      <c r="P87" s="176"/>
      <c r="Q87" s="176"/>
      <c r="R87" s="176"/>
      <c r="S87" s="176"/>
      <c r="T87" s="462"/>
      <c r="U87" s="462"/>
      <c r="V87" s="462"/>
      <c r="W87" s="462"/>
      <c r="X87" s="462"/>
      <c r="Y87" s="462"/>
      <c r="Z87" s="286"/>
      <c r="AA87" s="462"/>
      <c r="AB87" s="462"/>
      <c r="AC87" s="462"/>
      <c r="AD87" s="462"/>
      <c r="AE87" s="462"/>
      <c r="AF87" s="462"/>
      <c r="AG87" s="462"/>
      <c r="AM87" s="462"/>
      <c r="AN87" s="332"/>
      <c r="AO87" s="462"/>
      <c r="AP87" s="462"/>
      <c r="AQ87" s="462"/>
      <c r="AR87" s="462"/>
      <c r="AS87" s="462"/>
      <c r="AT87" s="462"/>
      <c r="AU87" s="462"/>
      <c r="AV87" s="462"/>
      <c r="AW87" s="462"/>
      <c r="AX87" s="462"/>
      <c r="AY87" s="462"/>
    </row>
    <row r="88" spans="2:51" s="456" customFormat="1" ht="16.5">
      <c r="B88" s="172"/>
      <c r="C88" s="173"/>
      <c r="D88" s="173"/>
      <c r="E88" s="173"/>
      <c r="F88" s="174"/>
      <c r="G88" s="175"/>
      <c r="H88" s="175"/>
      <c r="I88" s="175"/>
      <c r="J88" s="175"/>
      <c r="K88" s="176"/>
      <c r="L88" s="176"/>
      <c r="M88" s="176"/>
      <c r="N88" s="176"/>
      <c r="O88" s="176"/>
      <c r="P88" s="176"/>
      <c r="Q88" s="176"/>
      <c r="R88" s="176"/>
      <c r="S88" s="176"/>
      <c r="T88" s="462"/>
      <c r="U88" s="462"/>
      <c r="V88" s="462"/>
      <c r="W88" s="462"/>
      <c r="X88" s="462"/>
      <c r="Y88" s="462"/>
      <c r="Z88" s="286"/>
      <c r="AA88" s="462"/>
      <c r="AB88" s="462"/>
      <c r="AC88" s="462"/>
      <c r="AD88" s="462"/>
      <c r="AE88" s="462"/>
      <c r="AF88" s="462"/>
      <c r="AG88" s="462"/>
      <c r="AM88" s="462"/>
      <c r="AN88" s="332"/>
      <c r="AO88" s="462"/>
      <c r="AP88" s="462"/>
      <c r="AQ88" s="462"/>
      <c r="AR88" s="462"/>
      <c r="AS88" s="462"/>
      <c r="AT88" s="462"/>
      <c r="AU88" s="462"/>
      <c r="AV88" s="462"/>
      <c r="AW88" s="462"/>
      <c r="AX88" s="462"/>
      <c r="AY88" s="462"/>
    </row>
    <row r="89" spans="2:51" s="168" customFormat="1" ht="16.5">
      <c r="B89" s="172"/>
      <c r="C89" s="173"/>
      <c r="D89" s="173"/>
      <c r="E89" s="173"/>
      <c r="F89" s="174"/>
      <c r="G89" s="175"/>
      <c r="H89" s="175"/>
      <c r="I89" s="175"/>
      <c r="J89" s="175"/>
      <c r="K89" s="176"/>
      <c r="L89" s="176"/>
      <c r="M89" s="176"/>
      <c r="N89" s="176"/>
      <c r="O89" s="176"/>
      <c r="P89" s="176"/>
      <c r="Q89" s="176"/>
      <c r="R89" s="176"/>
      <c r="S89" s="176"/>
      <c r="T89" s="125"/>
      <c r="U89" s="125"/>
      <c r="V89" s="125"/>
      <c r="W89" s="125"/>
      <c r="X89" s="125"/>
      <c r="Y89" s="125"/>
      <c r="Z89" s="286"/>
      <c r="AA89" s="125"/>
      <c r="AB89" s="125"/>
      <c r="AC89" s="125"/>
      <c r="AD89" s="125"/>
      <c r="AE89" s="125"/>
      <c r="AF89" s="125"/>
      <c r="AG89" s="125"/>
      <c r="AM89" s="125"/>
      <c r="AN89" s="332"/>
      <c r="AO89" s="462"/>
      <c r="AP89" s="462"/>
      <c r="AQ89" s="462"/>
      <c r="AR89" s="462"/>
      <c r="AS89" s="462"/>
      <c r="AT89" s="462"/>
      <c r="AU89" s="462"/>
      <c r="AV89" s="462"/>
      <c r="AW89" s="462"/>
      <c r="AX89" s="462"/>
      <c r="AY89" s="462"/>
    </row>
    <row r="90" spans="1:26" ht="16.5">
      <c r="A90" s="168" t="s">
        <v>108</v>
      </c>
      <c r="B90" s="523" t="s">
        <v>1210</v>
      </c>
      <c r="C90" s="172"/>
      <c r="D90" s="172"/>
      <c r="E90" s="172"/>
      <c r="F90" s="181"/>
      <c r="G90" s="181"/>
      <c r="H90" s="181"/>
      <c r="I90" s="181"/>
      <c r="J90" s="181"/>
      <c r="K90" s="181"/>
      <c r="L90" s="181"/>
      <c r="M90" s="181"/>
      <c r="N90" s="181"/>
      <c r="O90" s="181"/>
      <c r="P90" s="181"/>
      <c r="Q90" s="181"/>
      <c r="R90" s="181"/>
      <c r="S90" s="181"/>
      <c r="Z90" s="286"/>
    </row>
    <row r="91" spans="2:26" ht="16.5">
      <c r="B91" s="523" t="s">
        <v>979</v>
      </c>
      <c r="C91" s="172"/>
      <c r="D91" s="172"/>
      <c r="E91" s="172"/>
      <c r="F91" s="181"/>
      <c r="G91" s="181"/>
      <c r="H91" s="181"/>
      <c r="I91" s="181"/>
      <c r="J91" s="181"/>
      <c r="K91" s="181"/>
      <c r="L91" s="181"/>
      <c r="M91" s="181"/>
      <c r="N91" s="181"/>
      <c r="O91" s="181"/>
      <c r="P91" s="181"/>
      <c r="Q91" s="181"/>
      <c r="R91" s="181"/>
      <c r="S91" s="181"/>
      <c r="Z91" s="286"/>
    </row>
    <row r="92" spans="2:26" ht="15" customHeight="1">
      <c r="B92" s="523" t="s">
        <v>980</v>
      </c>
      <c r="C92" s="172"/>
      <c r="D92" s="172"/>
      <c r="E92" s="172"/>
      <c r="F92" s="181"/>
      <c r="G92" s="181"/>
      <c r="H92" s="181"/>
      <c r="I92" s="181"/>
      <c r="J92" s="181"/>
      <c r="K92" s="181"/>
      <c r="L92" s="181"/>
      <c r="M92" s="181"/>
      <c r="N92" s="181"/>
      <c r="O92" s="181"/>
      <c r="P92" s="181"/>
      <c r="Q92" s="181"/>
      <c r="R92" s="181"/>
      <c r="S92" s="181"/>
      <c r="Z92" s="286"/>
    </row>
    <row r="93" spans="2:26" ht="15" customHeight="1">
      <c r="B93" s="523" t="s">
        <v>981</v>
      </c>
      <c r="C93" s="173"/>
      <c r="D93" s="173"/>
      <c r="E93" s="173"/>
      <c r="F93" s="174"/>
      <c r="G93" s="175"/>
      <c r="H93" s="175"/>
      <c r="I93" s="175"/>
      <c r="J93" s="175"/>
      <c r="K93" s="176"/>
      <c r="L93" s="176"/>
      <c r="M93" s="176"/>
      <c r="N93" s="176"/>
      <c r="O93" s="176"/>
      <c r="P93" s="176"/>
      <c r="Q93" s="176"/>
      <c r="R93" s="176"/>
      <c r="S93" s="176"/>
      <c r="Z93" s="286"/>
    </row>
    <row r="94" spans="1:26" ht="15.75">
      <c r="A94" s="168"/>
      <c r="B94" s="523" t="s">
        <v>982</v>
      </c>
      <c r="C94" s="12"/>
      <c r="D94" s="12"/>
      <c r="E94" s="12"/>
      <c r="F94" s="12"/>
      <c r="G94" s="6"/>
      <c r="H94" s="6"/>
      <c r="I94" s="6"/>
      <c r="J94" s="6"/>
      <c r="Z94" s="286"/>
    </row>
    <row r="95" spans="2:51" s="456" customFormat="1" ht="15.75">
      <c r="B95" s="523"/>
      <c r="C95" s="12"/>
      <c r="D95" s="12"/>
      <c r="E95" s="12"/>
      <c r="F95" s="12"/>
      <c r="G95" s="6"/>
      <c r="H95" s="6"/>
      <c r="I95" s="6"/>
      <c r="J95" s="6"/>
      <c r="T95" s="462"/>
      <c r="U95" s="462"/>
      <c r="V95" s="462"/>
      <c r="W95" s="462"/>
      <c r="X95" s="462"/>
      <c r="Y95" s="462"/>
      <c r="Z95" s="286"/>
      <c r="AA95" s="462"/>
      <c r="AB95" s="462"/>
      <c r="AC95" s="462"/>
      <c r="AD95" s="462"/>
      <c r="AE95" s="462"/>
      <c r="AF95" s="462"/>
      <c r="AG95" s="462"/>
      <c r="AM95" s="462"/>
      <c r="AN95" s="332"/>
      <c r="AO95" s="462"/>
      <c r="AP95" s="462"/>
      <c r="AQ95" s="462"/>
      <c r="AR95" s="462"/>
      <c r="AS95" s="462"/>
      <c r="AT95" s="462"/>
      <c r="AU95" s="462"/>
      <c r="AV95" s="462"/>
      <c r="AW95" s="462"/>
      <c r="AX95" s="462"/>
      <c r="AY95" s="462"/>
    </row>
    <row r="96" spans="2:51" s="456" customFormat="1" ht="15.75">
      <c r="B96" s="523" t="s">
        <v>1211</v>
      </c>
      <c r="C96" s="12"/>
      <c r="D96" s="12"/>
      <c r="E96" s="12"/>
      <c r="F96" s="12"/>
      <c r="G96" s="6"/>
      <c r="H96" s="6"/>
      <c r="I96" s="6"/>
      <c r="J96" s="6"/>
      <c r="T96" s="462"/>
      <c r="U96" s="462"/>
      <c r="V96" s="462"/>
      <c r="W96" s="462"/>
      <c r="X96" s="462"/>
      <c r="Y96" s="462"/>
      <c r="Z96" s="286"/>
      <c r="AA96" s="462"/>
      <c r="AB96" s="462"/>
      <c r="AC96" s="462"/>
      <c r="AD96" s="462"/>
      <c r="AE96" s="462"/>
      <c r="AF96" s="462"/>
      <c r="AG96" s="462"/>
      <c r="AM96" s="462"/>
      <c r="AN96" s="332"/>
      <c r="AO96" s="462"/>
      <c r="AP96" s="462"/>
      <c r="AQ96" s="462"/>
      <c r="AR96" s="462"/>
      <c r="AS96" s="462"/>
      <c r="AT96" s="462"/>
      <c r="AU96" s="462"/>
      <c r="AV96" s="462"/>
      <c r="AW96" s="462"/>
      <c r="AX96" s="462"/>
      <c r="AY96" s="462"/>
    </row>
    <row r="97" spans="2:51" s="456" customFormat="1" ht="15.75">
      <c r="B97" s="523" t="s">
        <v>1236</v>
      </c>
      <c r="C97" s="12"/>
      <c r="D97" s="12"/>
      <c r="E97" s="12"/>
      <c r="F97" s="12"/>
      <c r="G97" s="6"/>
      <c r="H97" s="6"/>
      <c r="I97" s="6"/>
      <c r="J97" s="6"/>
      <c r="T97" s="462"/>
      <c r="U97" s="462"/>
      <c r="V97" s="462"/>
      <c r="W97" s="462"/>
      <c r="X97" s="462"/>
      <c r="Y97" s="462"/>
      <c r="Z97" s="286"/>
      <c r="AA97" s="462"/>
      <c r="AB97" s="462"/>
      <c r="AC97" s="462"/>
      <c r="AD97" s="462"/>
      <c r="AE97" s="462"/>
      <c r="AF97" s="462"/>
      <c r="AG97" s="462"/>
      <c r="AM97" s="462"/>
      <c r="AN97" s="332"/>
      <c r="AO97" s="462"/>
      <c r="AP97" s="462"/>
      <c r="AQ97" s="462"/>
      <c r="AR97" s="462"/>
      <c r="AS97" s="462"/>
      <c r="AT97" s="462"/>
      <c r="AU97" s="462"/>
      <c r="AV97" s="462"/>
      <c r="AW97" s="462"/>
      <c r="AX97" s="462"/>
      <c r="AY97" s="462"/>
    </row>
    <row r="98" spans="2:51" s="456" customFormat="1" ht="15.75">
      <c r="B98" s="523"/>
      <c r="C98" s="12"/>
      <c r="D98" s="12"/>
      <c r="E98" s="12"/>
      <c r="F98" s="12"/>
      <c r="G98" s="6"/>
      <c r="H98" s="6"/>
      <c r="I98" s="6"/>
      <c r="J98" s="6"/>
      <c r="T98" s="462"/>
      <c r="U98" s="462"/>
      <c r="V98" s="462"/>
      <c r="W98" s="462"/>
      <c r="X98" s="462"/>
      <c r="Y98" s="462"/>
      <c r="Z98" s="286"/>
      <c r="AA98" s="462"/>
      <c r="AB98" s="462"/>
      <c r="AC98" s="462"/>
      <c r="AD98" s="462"/>
      <c r="AE98" s="462"/>
      <c r="AF98" s="462"/>
      <c r="AG98" s="462"/>
      <c r="AM98" s="462"/>
      <c r="AN98" s="332"/>
      <c r="AO98" s="462"/>
      <c r="AP98" s="462"/>
      <c r="AQ98" s="462"/>
      <c r="AR98" s="462"/>
      <c r="AS98" s="462"/>
      <c r="AT98" s="462"/>
      <c r="AU98" s="462"/>
      <c r="AV98" s="462"/>
      <c r="AW98" s="462"/>
      <c r="AX98" s="462"/>
      <c r="AY98" s="462"/>
    </row>
    <row r="99" spans="1:26" ht="15.75">
      <c r="A99" s="168" t="s">
        <v>184</v>
      </c>
      <c r="B99" s="523" t="s">
        <v>1212</v>
      </c>
      <c r="C99" s="12"/>
      <c r="D99" s="12"/>
      <c r="E99" s="12"/>
      <c r="F99" s="12"/>
      <c r="G99" s="6"/>
      <c r="H99" s="6"/>
      <c r="I99" s="6"/>
      <c r="J99" s="6"/>
      <c r="Z99" s="286"/>
    </row>
    <row r="100" spans="2:51" s="168" customFormat="1" ht="15.75">
      <c r="B100" s="523" t="s">
        <v>983</v>
      </c>
      <c r="C100" s="12"/>
      <c r="D100" s="12"/>
      <c r="E100" s="12"/>
      <c r="F100" s="12"/>
      <c r="G100" s="6"/>
      <c r="H100" s="6"/>
      <c r="I100" s="6"/>
      <c r="J100" s="6"/>
      <c r="O100" s="456"/>
      <c r="T100" s="125"/>
      <c r="U100" s="125"/>
      <c r="V100" s="125"/>
      <c r="W100" s="125"/>
      <c r="X100" s="125"/>
      <c r="Y100" s="125"/>
      <c r="Z100" s="286"/>
      <c r="AA100" s="125"/>
      <c r="AB100" s="125"/>
      <c r="AC100" s="125"/>
      <c r="AD100" s="125"/>
      <c r="AE100" s="125"/>
      <c r="AF100" s="125"/>
      <c r="AG100" s="125"/>
      <c r="AM100" s="125"/>
      <c r="AN100" s="332"/>
      <c r="AO100" s="462"/>
      <c r="AP100" s="462"/>
      <c r="AQ100" s="462"/>
      <c r="AR100" s="462"/>
      <c r="AS100" s="462"/>
      <c r="AT100" s="462"/>
      <c r="AU100" s="462"/>
      <c r="AV100" s="462"/>
      <c r="AW100" s="462"/>
      <c r="AX100" s="462"/>
      <c r="AY100" s="462"/>
    </row>
    <row r="101" spans="2:51" s="456" customFormat="1" ht="16.5">
      <c r="B101" s="172"/>
      <c r="C101" s="12"/>
      <c r="D101" s="12"/>
      <c r="E101" s="12"/>
      <c r="F101" s="12"/>
      <c r="G101" s="6"/>
      <c r="H101" s="6"/>
      <c r="I101" s="6"/>
      <c r="J101" s="6"/>
      <c r="T101" s="462"/>
      <c r="U101" s="462"/>
      <c r="V101" s="462"/>
      <c r="W101" s="462"/>
      <c r="X101" s="462"/>
      <c r="Y101" s="462"/>
      <c r="Z101" s="286"/>
      <c r="AA101" s="462"/>
      <c r="AB101" s="462"/>
      <c r="AC101" s="462"/>
      <c r="AD101" s="462"/>
      <c r="AE101" s="462"/>
      <c r="AF101" s="462"/>
      <c r="AG101" s="462"/>
      <c r="AM101" s="462"/>
      <c r="AN101" s="332"/>
      <c r="AO101" s="462"/>
      <c r="AP101" s="462"/>
      <c r="AQ101" s="462"/>
      <c r="AR101" s="462"/>
      <c r="AS101" s="462"/>
      <c r="AT101" s="462"/>
      <c r="AU101" s="462"/>
      <c r="AV101" s="462"/>
      <c r="AW101" s="462"/>
      <c r="AX101" s="462"/>
      <c r="AY101" s="462"/>
    </row>
    <row r="102" spans="2:51" s="168" customFormat="1" ht="15">
      <c r="B102" s="12"/>
      <c r="C102" s="12"/>
      <c r="D102" s="12"/>
      <c r="E102" s="12"/>
      <c r="F102" s="12"/>
      <c r="G102" s="6"/>
      <c r="H102" s="6"/>
      <c r="I102" s="6"/>
      <c r="J102" s="6"/>
      <c r="O102" s="456"/>
      <c r="T102" s="125"/>
      <c r="U102" s="125"/>
      <c r="V102" s="125"/>
      <c r="W102" s="125"/>
      <c r="X102" s="125"/>
      <c r="Y102" s="125"/>
      <c r="Z102" s="286"/>
      <c r="AA102" s="125"/>
      <c r="AB102" s="125"/>
      <c r="AC102" s="125"/>
      <c r="AD102" s="125"/>
      <c r="AE102" s="125"/>
      <c r="AF102" s="125"/>
      <c r="AG102" s="125"/>
      <c r="AM102" s="125"/>
      <c r="AN102" s="332"/>
      <c r="AO102" s="462"/>
      <c r="AP102" s="462"/>
      <c r="AQ102" s="462"/>
      <c r="AR102" s="462"/>
      <c r="AS102" s="462"/>
      <c r="AT102" s="462"/>
      <c r="AU102" s="462"/>
      <c r="AV102" s="462"/>
      <c r="AW102" s="462"/>
      <c r="AX102" s="462"/>
      <c r="AY102" s="462"/>
    </row>
    <row r="103" spans="2:26" ht="15">
      <c r="B103" s="12"/>
      <c r="C103" s="12"/>
      <c r="D103" s="12"/>
      <c r="E103" s="12"/>
      <c r="F103" s="12"/>
      <c r="G103" s="6"/>
      <c r="H103" s="6"/>
      <c r="I103" s="6"/>
      <c r="J103" s="6"/>
      <c r="Q103" s="522" t="s">
        <v>642</v>
      </c>
      <c r="R103" s="522"/>
      <c r="Z103" s="286"/>
    </row>
    <row r="104" spans="2:26" ht="18.75">
      <c r="B104" s="109" t="s">
        <v>580</v>
      </c>
      <c r="C104" s="131"/>
      <c r="D104" s="131"/>
      <c r="E104" s="131"/>
      <c r="F104" s="131"/>
      <c r="G104" s="132"/>
      <c r="H104" s="132"/>
      <c r="I104" s="132"/>
      <c r="J104" s="132"/>
      <c r="K104" s="133"/>
      <c r="L104" s="133"/>
      <c r="M104" s="133"/>
      <c r="N104" s="133"/>
      <c r="O104" s="32">
        <v>2023</v>
      </c>
      <c r="P104" s="32">
        <v>2022</v>
      </c>
      <c r="Q104" s="110">
        <v>2021</v>
      </c>
      <c r="R104" s="110">
        <v>2020</v>
      </c>
      <c r="S104" s="110">
        <v>2019</v>
      </c>
      <c r="T104" s="294"/>
      <c r="U104" s="294"/>
      <c r="V104" s="277">
        <v>2018</v>
      </c>
      <c r="W104" s="295">
        <v>2017</v>
      </c>
      <c r="X104" s="294"/>
      <c r="Y104" s="294"/>
      <c r="Z104" s="295">
        <v>2016</v>
      </c>
    </row>
    <row r="105" spans="2:26" ht="20.25">
      <c r="B105" s="182" t="s">
        <v>101</v>
      </c>
      <c r="C105" s="131"/>
      <c r="D105" s="131"/>
      <c r="E105" s="131"/>
      <c r="F105" s="131"/>
      <c r="G105" s="131"/>
      <c r="H105" s="131"/>
      <c r="I105" s="131"/>
      <c r="J105" s="131"/>
      <c r="K105" s="133"/>
      <c r="L105" s="133"/>
      <c r="M105" s="133"/>
      <c r="N105" s="133"/>
      <c r="O105" s="133"/>
      <c r="P105" s="133"/>
      <c r="Q105" s="133"/>
      <c r="R105" s="133"/>
      <c r="S105" s="133"/>
      <c r="T105" s="294"/>
      <c r="U105" s="294"/>
      <c r="V105" s="294"/>
      <c r="W105" s="294"/>
      <c r="X105" s="294"/>
      <c r="Y105" s="294"/>
      <c r="Z105" s="296"/>
    </row>
    <row r="106" spans="2:26" ht="15.75">
      <c r="B106" s="60" t="s">
        <v>102</v>
      </c>
      <c r="C106" s="12"/>
      <c r="D106" s="12"/>
      <c r="E106" s="12"/>
      <c r="F106" s="12"/>
      <c r="G106" s="12"/>
      <c r="H106" s="12"/>
      <c r="I106" s="12"/>
      <c r="J106" s="12"/>
      <c r="Z106" s="286"/>
    </row>
    <row r="107" spans="2:26" ht="15">
      <c r="B107" s="12"/>
      <c r="C107" s="12"/>
      <c r="D107" s="12"/>
      <c r="E107" s="12"/>
      <c r="F107" s="12"/>
      <c r="G107" s="12"/>
      <c r="H107" s="12"/>
      <c r="I107" s="12"/>
      <c r="J107" s="12"/>
      <c r="Z107" s="286"/>
    </row>
    <row r="108" spans="2:26" ht="15">
      <c r="B108" s="12"/>
      <c r="C108" s="12"/>
      <c r="D108" s="12"/>
      <c r="E108" s="12"/>
      <c r="F108" s="12"/>
      <c r="G108" s="12"/>
      <c r="H108" s="12"/>
      <c r="I108" s="12"/>
      <c r="J108" s="12"/>
      <c r="Z108" s="286"/>
    </row>
    <row r="109" spans="2:26" ht="14.25" hidden="1">
      <c r="B109" s="12" t="s">
        <v>103</v>
      </c>
      <c r="C109" s="12"/>
      <c r="D109" s="12"/>
      <c r="E109" s="12"/>
      <c r="F109" s="12"/>
      <c r="G109" s="12"/>
      <c r="H109" s="16"/>
      <c r="I109" s="16"/>
      <c r="J109" s="16"/>
      <c r="Z109" s="286"/>
    </row>
    <row r="110" spans="1:26" ht="15" hidden="1">
      <c r="A110" s="25"/>
      <c r="B110" s="60" t="s">
        <v>104</v>
      </c>
      <c r="C110" s="60"/>
      <c r="D110" s="60"/>
      <c r="E110" s="60"/>
      <c r="F110" s="72"/>
      <c r="G110" s="60"/>
      <c r="H110" s="65">
        <v>214168.01</v>
      </c>
      <c r="I110" s="65"/>
      <c r="J110" s="65"/>
      <c r="K110" s="112"/>
      <c r="L110" s="112"/>
      <c r="M110" s="112"/>
      <c r="N110" s="112"/>
      <c r="O110" s="461"/>
      <c r="P110" s="88"/>
      <c r="Q110" s="88">
        <v>0</v>
      </c>
      <c r="R110" s="88">
        <v>9784.09</v>
      </c>
      <c r="S110" s="88">
        <v>400</v>
      </c>
      <c r="T110" s="115"/>
      <c r="U110" s="115"/>
      <c r="V110" s="115"/>
      <c r="W110" s="114">
        <v>13220.86</v>
      </c>
      <c r="X110" s="115"/>
      <c r="Y110" s="115"/>
      <c r="Z110" s="114">
        <f>180615.56+11.27</f>
        <v>180626.83</v>
      </c>
    </row>
    <row r="111" spans="2:26" ht="15" hidden="1">
      <c r="B111" s="60" t="s">
        <v>105</v>
      </c>
      <c r="C111" s="60"/>
      <c r="D111" s="60"/>
      <c r="E111" s="60"/>
      <c r="F111" s="60"/>
      <c r="G111" s="60"/>
      <c r="H111" s="65"/>
      <c r="I111" s="65"/>
      <c r="J111" s="65"/>
      <c r="K111" s="112"/>
      <c r="L111" s="112"/>
      <c r="M111" s="112"/>
      <c r="N111" s="112"/>
      <c r="O111" s="461"/>
      <c r="P111" s="88"/>
      <c r="Q111" s="88"/>
      <c r="R111" s="88"/>
      <c r="S111" s="75"/>
      <c r="T111" s="115"/>
      <c r="U111" s="115"/>
      <c r="V111" s="115"/>
      <c r="W111" s="114"/>
      <c r="X111" s="115"/>
      <c r="Y111" s="115"/>
      <c r="Z111" s="114"/>
    </row>
    <row r="112" spans="2:26" ht="15" hidden="1">
      <c r="B112" s="60" t="s">
        <v>269</v>
      </c>
      <c r="C112" s="60"/>
      <c r="D112" s="60"/>
      <c r="E112" s="60"/>
      <c r="F112" s="60"/>
      <c r="G112" s="60"/>
      <c r="H112" s="65"/>
      <c r="I112" s="65"/>
      <c r="J112" s="65"/>
      <c r="K112" s="112"/>
      <c r="L112" s="112"/>
      <c r="M112" s="112"/>
      <c r="N112" s="112"/>
      <c r="O112" s="461"/>
      <c r="P112" s="88"/>
      <c r="Q112" s="88"/>
      <c r="R112" s="88"/>
      <c r="S112" s="88"/>
      <c r="T112" s="115"/>
      <c r="U112" s="115"/>
      <c r="V112" s="115"/>
      <c r="W112" s="114"/>
      <c r="X112" s="115"/>
      <c r="Y112" s="115"/>
      <c r="Z112" s="114"/>
    </row>
    <row r="113" spans="2:26" ht="15" hidden="1">
      <c r="B113" s="60" t="s">
        <v>106</v>
      </c>
      <c r="C113" s="60"/>
      <c r="D113" s="60"/>
      <c r="E113" s="60"/>
      <c r="F113" s="60"/>
      <c r="G113" s="60"/>
      <c r="H113" s="65"/>
      <c r="I113" s="65"/>
      <c r="J113" s="65"/>
      <c r="K113" s="112"/>
      <c r="L113" s="112"/>
      <c r="M113" s="112"/>
      <c r="N113" s="112"/>
      <c r="O113" s="461"/>
      <c r="P113" s="88"/>
      <c r="Q113" s="88"/>
      <c r="R113" s="88"/>
      <c r="S113" s="134"/>
      <c r="T113" s="115"/>
      <c r="U113" s="115"/>
      <c r="V113" s="115"/>
      <c r="W113" s="114"/>
      <c r="X113" s="115"/>
      <c r="Y113" s="115"/>
      <c r="Z113" s="114">
        <v>0</v>
      </c>
    </row>
    <row r="114" spans="2:26" ht="15" hidden="1">
      <c r="B114" s="60" t="s">
        <v>240</v>
      </c>
      <c r="C114" s="60"/>
      <c r="D114" s="60"/>
      <c r="E114" s="60"/>
      <c r="F114" s="72"/>
      <c r="G114" s="60"/>
      <c r="H114" s="65"/>
      <c r="I114" s="65"/>
      <c r="J114" s="65"/>
      <c r="K114" s="112"/>
      <c r="L114" s="112"/>
      <c r="M114" s="112"/>
      <c r="N114" s="112"/>
      <c r="O114" s="461"/>
      <c r="P114" s="88"/>
      <c r="Q114" s="88"/>
      <c r="R114" s="88"/>
      <c r="S114" s="88"/>
      <c r="T114" s="115"/>
      <c r="U114" s="115"/>
      <c r="V114" s="115"/>
      <c r="W114" s="114"/>
      <c r="X114" s="115"/>
      <c r="Y114" s="115"/>
      <c r="Z114" s="114"/>
    </row>
    <row r="115" spans="1:26" ht="16.5">
      <c r="A115" s="25" t="s">
        <v>108</v>
      </c>
      <c r="B115" s="60" t="s">
        <v>268</v>
      </c>
      <c r="C115" s="60"/>
      <c r="D115" s="60"/>
      <c r="E115" s="60"/>
      <c r="F115" s="72"/>
      <c r="G115" s="60"/>
      <c r="H115" s="65">
        <f>538826.29-510880</f>
        <v>27946.290000000037</v>
      </c>
      <c r="I115" s="65"/>
      <c r="J115" s="65"/>
      <c r="K115" s="112"/>
      <c r="L115" s="112"/>
      <c r="M115" s="112"/>
      <c r="N115" s="112"/>
      <c r="O115" s="651">
        <v>0</v>
      </c>
      <c r="P115" s="656">
        <v>25</v>
      </c>
      <c r="Q115" s="88">
        <v>25</v>
      </c>
      <c r="R115" s="88">
        <v>25</v>
      </c>
      <c r="S115" s="75">
        <v>245755.93</v>
      </c>
      <c r="T115" s="115"/>
      <c r="U115" s="115"/>
      <c r="V115" s="115"/>
      <c r="W115" s="114"/>
      <c r="X115" s="115"/>
      <c r="Y115" s="115"/>
      <c r="Z115" s="114">
        <v>0</v>
      </c>
    </row>
    <row r="116" spans="2:51" s="456" customFormat="1" ht="16.5">
      <c r="B116" s="60" t="s">
        <v>105</v>
      </c>
      <c r="C116" s="60"/>
      <c r="D116" s="60"/>
      <c r="E116" s="60"/>
      <c r="F116" s="72"/>
      <c r="G116" s="60"/>
      <c r="H116" s="65"/>
      <c r="I116" s="65"/>
      <c r="J116" s="65"/>
      <c r="K116" s="461"/>
      <c r="L116" s="461"/>
      <c r="M116" s="461"/>
      <c r="N116" s="461"/>
      <c r="O116" s="656">
        <v>1285</v>
      </c>
      <c r="P116" s="656"/>
      <c r="Q116" s="88"/>
      <c r="R116" s="88"/>
      <c r="S116" s="459"/>
      <c r="T116" s="115"/>
      <c r="U116" s="115"/>
      <c r="V116" s="115"/>
      <c r="W116" s="114"/>
      <c r="X116" s="115"/>
      <c r="Y116" s="115"/>
      <c r="Z116" s="114"/>
      <c r="AA116" s="462"/>
      <c r="AB116" s="462"/>
      <c r="AC116" s="462"/>
      <c r="AD116" s="462"/>
      <c r="AE116" s="462"/>
      <c r="AF116" s="462"/>
      <c r="AG116" s="462"/>
      <c r="AM116" s="462"/>
      <c r="AN116" s="332"/>
      <c r="AO116" s="462"/>
      <c r="AP116" s="462"/>
      <c r="AQ116" s="462"/>
      <c r="AR116" s="462"/>
      <c r="AS116" s="462"/>
      <c r="AT116" s="462"/>
      <c r="AU116" s="462"/>
      <c r="AV116" s="462"/>
      <c r="AW116" s="462"/>
      <c r="AX116" s="462"/>
      <c r="AY116" s="462"/>
    </row>
    <row r="117" spans="1:26" ht="15.75">
      <c r="A117" s="25" t="s">
        <v>108</v>
      </c>
      <c r="B117" s="12" t="s">
        <v>604</v>
      </c>
      <c r="C117" s="12"/>
      <c r="D117" s="12"/>
      <c r="E117" s="12"/>
      <c r="F117" s="25"/>
      <c r="G117" s="12"/>
      <c r="H117" s="65">
        <v>31630</v>
      </c>
      <c r="I117" s="65"/>
      <c r="J117" s="65"/>
      <c r="K117" s="112"/>
      <c r="L117" s="112"/>
      <c r="M117" s="112"/>
      <c r="N117" s="112"/>
      <c r="O117" s="656">
        <v>969548.51</v>
      </c>
      <c r="P117" s="656">
        <v>969548.51</v>
      </c>
      <c r="Q117" s="88">
        <v>969548.51</v>
      </c>
      <c r="R117" s="88">
        <v>969548.51</v>
      </c>
      <c r="S117" s="88">
        <v>969548.51</v>
      </c>
      <c r="T117" s="115"/>
      <c r="U117" s="115"/>
      <c r="V117" s="115"/>
      <c r="W117" s="114"/>
      <c r="X117" s="115"/>
      <c r="Y117" s="115"/>
      <c r="Z117" s="114">
        <v>7851.83</v>
      </c>
    </row>
    <row r="118" spans="1:26" ht="17.25" thickBot="1">
      <c r="A118" s="25" t="s">
        <v>108</v>
      </c>
      <c r="B118" s="60" t="s">
        <v>107</v>
      </c>
      <c r="C118" s="60"/>
      <c r="D118" s="60"/>
      <c r="E118" s="60"/>
      <c r="F118" s="72"/>
      <c r="G118" s="60"/>
      <c r="H118" s="65">
        <v>1616329.37</v>
      </c>
      <c r="I118" s="65"/>
      <c r="J118" s="65"/>
      <c r="K118" s="112"/>
      <c r="L118" s="112"/>
      <c r="M118" s="112"/>
      <c r="N118" s="112"/>
      <c r="O118" s="657">
        <v>1616329.37</v>
      </c>
      <c r="P118" s="657">
        <v>1616329.37</v>
      </c>
      <c r="Q118" s="86">
        <v>1616329.37</v>
      </c>
      <c r="R118" s="86">
        <v>1616329.37</v>
      </c>
      <c r="S118" s="86">
        <v>1616329.37</v>
      </c>
      <c r="T118" s="115"/>
      <c r="U118" s="115"/>
      <c r="V118" s="284">
        <v>1616329.37</v>
      </c>
      <c r="W118" s="284">
        <v>1616329.37</v>
      </c>
      <c r="X118" s="115"/>
      <c r="Y118" s="115"/>
      <c r="Z118" s="284">
        <v>1616329.37</v>
      </c>
    </row>
    <row r="119" spans="2:26" ht="15.75" hidden="1" thickBot="1">
      <c r="B119" s="60" t="s">
        <v>109</v>
      </c>
      <c r="C119" s="60"/>
      <c r="D119" s="60"/>
      <c r="E119" s="60"/>
      <c r="F119" s="72"/>
      <c r="G119" s="60"/>
      <c r="H119" s="65"/>
      <c r="I119" s="65"/>
      <c r="J119" s="65"/>
      <c r="K119" s="112"/>
      <c r="L119" s="112"/>
      <c r="M119" s="112"/>
      <c r="N119" s="112"/>
      <c r="O119" s="656"/>
      <c r="P119" s="657"/>
      <c r="Q119" s="86"/>
      <c r="R119" s="86"/>
      <c r="S119" s="86"/>
      <c r="T119" s="115"/>
      <c r="U119" s="115"/>
      <c r="V119" s="114"/>
      <c r="W119" s="114"/>
      <c r="X119" s="115"/>
      <c r="Y119" s="115"/>
      <c r="Z119" s="114"/>
    </row>
    <row r="120" spans="2:26" ht="15" hidden="1">
      <c r="B120" s="60"/>
      <c r="C120" s="60"/>
      <c r="D120" s="60"/>
      <c r="E120" s="60"/>
      <c r="F120" s="72"/>
      <c r="G120" s="60"/>
      <c r="H120" s="65"/>
      <c r="I120" s="65"/>
      <c r="J120" s="65"/>
      <c r="K120" s="112"/>
      <c r="L120" s="112"/>
      <c r="M120" s="112"/>
      <c r="N120" s="112"/>
      <c r="O120" s="656"/>
      <c r="P120" s="658"/>
      <c r="Q120" s="199"/>
      <c r="R120" s="75"/>
      <c r="S120" s="75"/>
      <c r="T120" s="115"/>
      <c r="U120" s="115"/>
      <c r="V120" s="114"/>
      <c r="W120" s="114"/>
      <c r="X120" s="115"/>
      <c r="Y120" s="115"/>
      <c r="Z120" s="114"/>
    </row>
    <row r="121" spans="2:26" ht="21" thickBot="1">
      <c r="B121" s="182" t="s">
        <v>110</v>
      </c>
      <c r="C121" s="60"/>
      <c r="D121" s="60"/>
      <c r="E121" s="60"/>
      <c r="F121" s="60"/>
      <c r="G121" s="60"/>
      <c r="H121" s="135">
        <f>SUM(H109:H119)</f>
        <v>1890073.6700000002</v>
      </c>
      <c r="I121" s="134"/>
      <c r="J121" s="134"/>
      <c r="K121" s="112"/>
      <c r="L121" s="112"/>
      <c r="M121" s="112"/>
      <c r="N121" s="112"/>
      <c r="O121" s="659">
        <f>SUM(O115:O120)</f>
        <v>2587162.88</v>
      </c>
      <c r="P121" s="659">
        <f>SUM(P110:P118)</f>
        <v>2585902.88</v>
      </c>
      <c r="Q121" s="208">
        <f>SUM(Q110:Q118)</f>
        <v>2585902.88</v>
      </c>
      <c r="R121" s="208">
        <f>SUM(R110:R118)</f>
        <v>2595686.97</v>
      </c>
      <c r="S121" s="208">
        <f>SUM(S108:S118)</f>
        <v>2832033.81</v>
      </c>
      <c r="T121" s="115"/>
      <c r="U121" s="115"/>
      <c r="V121" s="297">
        <f>SUM(V118:V120)</f>
        <v>1616329.37</v>
      </c>
      <c r="W121" s="297">
        <f>SUM(W110:W118)</f>
        <v>1629550.2300000002</v>
      </c>
      <c r="X121" s="115"/>
      <c r="Y121" s="115"/>
      <c r="Z121" s="297">
        <f>SUM(Z109:Z119)</f>
        <v>1804808.03</v>
      </c>
    </row>
    <row r="122" spans="2:26" ht="17.25" thickTop="1">
      <c r="B122" s="72"/>
      <c r="C122" s="12"/>
      <c r="D122" s="12"/>
      <c r="E122" s="12"/>
      <c r="F122" s="12"/>
      <c r="G122" s="12"/>
      <c r="H122" s="92"/>
      <c r="I122" s="92"/>
      <c r="J122" s="92"/>
      <c r="S122" s="134"/>
      <c r="Z122" s="286"/>
    </row>
    <row r="123" spans="2:26" ht="16.5">
      <c r="B123" s="72"/>
      <c r="C123" s="12"/>
      <c r="D123" s="12"/>
      <c r="E123" s="12"/>
      <c r="F123" s="12"/>
      <c r="G123" s="12"/>
      <c r="H123" s="92"/>
      <c r="I123" s="92"/>
      <c r="J123" s="92"/>
      <c r="P123" s="285">
        <f>O117+O118</f>
        <v>2585877.88</v>
      </c>
      <c r="S123" s="134"/>
      <c r="Z123" s="286"/>
    </row>
    <row r="124" spans="2:26" ht="16.5">
      <c r="B124" s="72"/>
      <c r="C124" s="12"/>
      <c r="D124" s="12"/>
      <c r="E124" s="12"/>
      <c r="F124" s="12"/>
      <c r="G124" s="12"/>
      <c r="H124" s="92"/>
      <c r="I124" s="92"/>
      <c r="J124" s="92"/>
      <c r="S124" s="134"/>
      <c r="Z124" s="286"/>
    </row>
    <row r="125" spans="2:26" ht="16.5">
      <c r="B125" s="72"/>
      <c r="C125" s="12"/>
      <c r="D125" s="12"/>
      <c r="E125" s="12"/>
      <c r="F125" s="12"/>
      <c r="G125" s="12"/>
      <c r="H125" s="92"/>
      <c r="I125" s="92"/>
      <c r="J125" s="92"/>
      <c r="S125" s="134"/>
      <c r="Z125" s="286"/>
    </row>
    <row r="126" spans="2:31" ht="15.75">
      <c r="B126" s="9" t="s">
        <v>647</v>
      </c>
      <c r="C126" s="25"/>
      <c r="D126" s="25"/>
      <c r="E126" s="25"/>
      <c r="F126" s="25"/>
      <c r="G126" s="25"/>
      <c r="H126" s="92"/>
      <c r="I126" s="92"/>
      <c r="J126" s="92"/>
      <c r="K126" s="98"/>
      <c r="L126" s="98"/>
      <c r="M126" s="98"/>
      <c r="N126" s="98"/>
      <c r="O126" s="98"/>
      <c r="P126" s="98"/>
      <c r="Q126" s="98"/>
      <c r="R126" s="98"/>
      <c r="S126" s="98"/>
      <c r="T126" s="298"/>
      <c r="U126" s="298"/>
      <c r="V126" s="298"/>
      <c r="W126" s="298"/>
      <c r="X126" s="298"/>
      <c r="Y126" s="298"/>
      <c r="Z126" s="299"/>
      <c r="AA126" s="298"/>
      <c r="AB126" s="298"/>
      <c r="AC126" s="298"/>
      <c r="AD126" s="298"/>
      <c r="AE126" s="298"/>
    </row>
    <row r="127" spans="2:31" ht="15.75">
      <c r="B127" s="9" t="s">
        <v>814</v>
      </c>
      <c r="C127" s="25"/>
      <c r="D127" s="25"/>
      <c r="E127" s="25"/>
      <c r="F127" s="25"/>
      <c r="G127" s="25"/>
      <c r="H127" s="92"/>
      <c r="I127" s="92"/>
      <c r="J127" s="92"/>
      <c r="K127" s="98"/>
      <c r="L127" s="98"/>
      <c r="M127" s="98"/>
      <c r="N127" s="98"/>
      <c r="O127" s="98"/>
      <c r="P127" s="98"/>
      <c r="Q127" s="98"/>
      <c r="R127" s="98"/>
      <c r="S127" s="98"/>
      <c r="T127" s="298"/>
      <c r="U127" s="298"/>
      <c r="V127" s="298"/>
      <c r="W127" s="298"/>
      <c r="X127" s="298"/>
      <c r="Y127" s="298"/>
      <c r="Z127" s="299"/>
      <c r="AA127" s="298"/>
      <c r="AB127" s="298"/>
      <c r="AC127" s="298"/>
      <c r="AD127" s="298"/>
      <c r="AE127" s="298"/>
    </row>
    <row r="128" spans="2:51" s="168" customFormat="1" ht="15.75">
      <c r="B128" s="9" t="s">
        <v>817</v>
      </c>
      <c r="C128" s="25"/>
      <c r="D128" s="25"/>
      <c r="E128" s="25"/>
      <c r="F128" s="25"/>
      <c r="G128" s="25"/>
      <c r="H128" s="92"/>
      <c r="I128" s="92"/>
      <c r="J128" s="92"/>
      <c r="K128" s="98"/>
      <c r="L128" s="98"/>
      <c r="M128" s="98"/>
      <c r="N128" s="98"/>
      <c r="O128" s="98"/>
      <c r="P128" s="98"/>
      <c r="Q128" s="98"/>
      <c r="R128" s="98"/>
      <c r="S128" s="98"/>
      <c r="T128" s="298"/>
      <c r="U128" s="298"/>
      <c r="V128" s="298"/>
      <c r="W128" s="298"/>
      <c r="X128" s="298"/>
      <c r="Y128" s="298"/>
      <c r="Z128" s="299"/>
      <c r="AA128" s="298"/>
      <c r="AB128" s="298"/>
      <c r="AC128" s="298"/>
      <c r="AD128" s="298"/>
      <c r="AE128" s="298"/>
      <c r="AF128" s="125"/>
      <c r="AG128" s="125"/>
      <c r="AM128" s="125"/>
      <c r="AN128" s="332"/>
      <c r="AO128" s="462"/>
      <c r="AP128" s="462"/>
      <c r="AQ128" s="462"/>
      <c r="AR128" s="462"/>
      <c r="AS128" s="462"/>
      <c r="AT128" s="462"/>
      <c r="AU128" s="462"/>
      <c r="AV128" s="462"/>
      <c r="AW128" s="462"/>
      <c r="AX128" s="462"/>
      <c r="AY128" s="462"/>
    </row>
    <row r="129" spans="2:31" ht="15.75">
      <c r="B129" s="9" t="s">
        <v>990</v>
      </c>
      <c r="C129" s="25"/>
      <c r="D129" s="25"/>
      <c r="E129" s="25"/>
      <c r="F129" s="25"/>
      <c r="G129" s="25"/>
      <c r="H129" s="92"/>
      <c r="I129" s="92"/>
      <c r="J129" s="92"/>
      <c r="K129" s="98"/>
      <c r="L129" s="98"/>
      <c r="M129" s="98"/>
      <c r="N129" s="98"/>
      <c r="O129" s="98"/>
      <c r="P129" s="98"/>
      <c r="Q129" s="98"/>
      <c r="R129" s="98"/>
      <c r="S129" s="98"/>
      <c r="T129" s="298"/>
      <c r="U129" s="298"/>
      <c r="V129" s="298"/>
      <c r="W129" s="298"/>
      <c r="X129" s="298"/>
      <c r="Y129" s="298"/>
      <c r="Z129" s="299"/>
      <c r="AA129" s="298"/>
      <c r="AB129" s="298"/>
      <c r="AC129" s="298"/>
      <c r="AD129" s="298"/>
      <c r="AE129" s="298"/>
    </row>
    <row r="130" spans="2:31" ht="15.75">
      <c r="B130" s="9" t="s">
        <v>818</v>
      </c>
      <c r="C130" s="25"/>
      <c r="D130" s="25"/>
      <c r="E130" s="25"/>
      <c r="F130" s="25"/>
      <c r="G130" s="25"/>
      <c r="H130" s="92"/>
      <c r="I130" s="92"/>
      <c r="J130" s="92"/>
      <c r="K130" s="98"/>
      <c r="L130" s="98"/>
      <c r="M130" s="98"/>
      <c r="N130" s="98"/>
      <c r="O130" s="98"/>
      <c r="P130" s="98"/>
      <c r="Q130" s="98"/>
      <c r="R130" s="98"/>
      <c r="S130" s="98"/>
      <c r="T130" s="298"/>
      <c r="U130" s="298"/>
      <c r="V130" s="298"/>
      <c r="W130" s="298"/>
      <c r="X130" s="298"/>
      <c r="Y130" s="298"/>
      <c r="Z130" s="299"/>
      <c r="AA130" s="298"/>
      <c r="AB130" s="298"/>
      <c r="AC130" s="298"/>
      <c r="AD130" s="298"/>
      <c r="AE130" s="298"/>
    </row>
    <row r="131" spans="2:31" ht="15.75">
      <c r="B131" s="9" t="s">
        <v>819</v>
      </c>
      <c r="C131" s="25"/>
      <c r="D131" s="25"/>
      <c r="E131" s="25"/>
      <c r="F131" s="25"/>
      <c r="G131" s="25"/>
      <c r="H131" s="92"/>
      <c r="I131" s="92"/>
      <c r="J131" s="92"/>
      <c r="K131" s="98"/>
      <c r="L131" s="98"/>
      <c r="M131" s="98"/>
      <c r="N131" s="98"/>
      <c r="O131" s="98"/>
      <c r="P131" s="98"/>
      <c r="Q131" s="98"/>
      <c r="R131" s="98"/>
      <c r="S131" s="98"/>
      <c r="T131" s="298"/>
      <c r="U131" s="298"/>
      <c r="V131" s="298"/>
      <c r="W131" s="298"/>
      <c r="X131" s="298"/>
      <c r="Y131" s="298"/>
      <c r="Z131" s="299"/>
      <c r="AA131" s="298"/>
      <c r="AB131" s="298"/>
      <c r="AC131" s="298"/>
      <c r="AD131" s="298"/>
      <c r="AE131" s="298"/>
    </row>
    <row r="132" spans="2:31" ht="15.75">
      <c r="B132" s="9" t="s">
        <v>820</v>
      </c>
      <c r="C132" s="25"/>
      <c r="D132" s="25"/>
      <c r="E132" s="25"/>
      <c r="F132" s="25"/>
      <c r="G132" s="25"/>
      <c r="H132" s="92"/>
      <c r="I132" s="92"/>
      <c r="J132" s="92"/>
      <c r="K132" s="98"/>
      <c r="L132" s="98"/>
      <c r="M132" s="98"/>
      <c r="N132" s="98"/>
      <c r="O132" s="98"/>
      <c r="P132" s="98"/>
      <c r="Q132" s="98"/>
      <c r="R132" s="98"/>
      <c r="S132" s="98"/>
      <c r="T132" s="298"/>
      <c r="U132" s="298"/>
      <c r="V132" s="298"/>
      <c r="W132" s="298"/>
      <c r="X132" s="298"/>
      <c r="Y132" s="298"/>
      <c r="Z132" s="299"/>
      <c r="AA132" s="298"/>
      <c r="AB132" s="298"/>
      <c r="AC132" s="298"/>
      <c r="AD132" s="298"/>
      <c r="AE132" s="298"/>
    </row>
    <row r="133" spans="2:31" ht="15.75">
      <c r="B133" s="9" t="s">
        <v>815</v>
      </c>
      <c r="C133" s="25"/>
      <c r="D133" s="25"/>
      <c r="E133" s="25"/>
      <c r="F133" s="25"/>
      <c r="G133" s="25"/>
      <c r="H133" s="92"/>
      <c r="I133" s="92"/>
      <c r="J133" s="92"/>
      <c r="K133" s="98"/>
      <c r="L133" s="98"/>
      <c r="M133" s="98"/>
      <c r="N133" s="98"/>
      <c r="O133" s="98"/>
      <c r="P133" s="98"/>
      <c r="Q133" s="98"/>
      <c r="R133" s="98"/>
      <c r="S133" s="98"/>
      <c r="T133" s="298"/>
      <c r="U133" s="298"/>
      <c r="V133" s="298"/>
      <c r="W133" s="298"/>
      <c r="X133" s="298"/>
      <c r="Y133" s="298"/>
      <c r="Z133" s="299"/>
      <c r="AA133" s="298"/>
      <c r="AB133" s="298"/>
      <c r="AC133" s="298"/>
      <c r="AD133" s="298"/>
      <c r="AE133" s="298"/>
    </row>
    <row r="134" spans="2:31" ht="15.75">
      <c r="B134" s="9" t="s">
        <v>816</v>
      </c>
      <c r="C134" s="25"/>
      <c r="D134" s="25"/>
      <c r="E134" s="25"/>
      <c r="F134" s="25"/>
      <c r="G134" s="25"/>
      <c r="H134" s="25"/>
      <c r="I134" s="25"/>
      <c r="J134" s="25"/>
      <c r="K134" s="98"/>
      <c r="L134" s="98"/>
      <c r="M134" s="98"/>
      <c r="N134" s="98"/>
      <c r="O134" s="98"/>
      <c r="P134" s="98"/>
      <c r="Q134" s="98"/>
      <c r="R134" s="98"/>
      <c r="S134" s="98"/>
      <c r="T134" s="298"/>
      <c r="U134" s="298"/>
      <c r="V134" s="298"/>
      <c r="W134" s="298"/>
      <c r="X134" s="298"/>
      <c r="Y134" s="298"/>
      <c r="Z134" s="299"/>
      <c r="AA134" s="298"/>
      <c r="AB134" s="298"/>
      <c r="AC134" s="298"/>
      <c r="AD134" s="298"/>
      <c r="AE134" s="298"/>
    </row>
    <row r="135" spans="2:31" ht="15.75">
      <c r="B135" s="9" t="s">
        <v>835</v>
      </c>
      <c r="C135" s="25"/>
      <c r="D135" s="25"/>
      <c r="E135" s="25"/>
      <c r="F135" s="25"/>
      <c r="G135" s="25"/>
      <c r="H135" s="25"/>
      <c r="I135" s="25"/>
      <c r="J135" s="25"/>
      <c r="K135" s="92"/>
      <c r="L135" s="92"/>
      <c r="M135" s="92"/>
      <c r="N135" s="92"/>
      <c r="O135" s="92"/>
      <c r="P135" s="92"/>
      <c r="Q135" s="92"/>
      <c r="R135" s="92"/>
      <c r="S135" s="98"/>
      <c r="T135" s="298"/>
      <c r="U135" s="298"/>
      <c r="V135" s="298"/>
      <c r="W135" s="298"/>
      <c r="X135" s="298"/>
      <c r="Y135" s="298"/>
      <c r="Z135" s="298"/>
      <c r="AA135" s="298"/>
      <c r="AB135" s="298"/>
      <c r="AC135" s="298"/>
      <c r="AD135" s="298"/>
      <c r="AE135" s="298"/>
    </row>
    <row r="136" spans="2:51" s="168" customFormat="1" ht="15.75">
      <c r="B136" s="9" t="s">
        <v>836</v>
      </c>
      <c r="C136" s="25"/>
      <c r="D136" s="25"/>
      <c r="E136" s="25"/>
      <c r="F136" s="25"/>
      <c r="G136" s="25"/>
      <c r="H136" s="25"/>
      <c r="I136" s="25"/>
      <c r="J136" s="25"/>
      <c r="K136" s="92"/>
      <c r="L136" s="92"/>
      <c r="M136" s="92"/>
      <c r="N136" s="92"/>
      <c r="O136" s="92"/>
      <c r="P136" s="92"/>
      <c r="Q136" s="92"/>
      <c r="R136" s="92"/>
      <c r="S136" s="98"/>
      <c r="T136" s="298"/>
      <c r="U136" s="298"/>
      <c r="V136" s="298"/>
      <c r="W136" s="298"/>
      <c r="X136" s="298"/>
      <c r="Y136" s="298"/>
      <c r="Z136" s="298"/>
      <c r="AA136" s="298"/>
      <c r="AB136" s="298"/>
      <c r="AC136" s="298"/>
      <c r="AD136" s="298"/>
      <c r="AE136" s="298"/>
      <c r="AF136" s="125"/>
      <c r="AG136" s="125"/>
      <c r="AM136" s="125"/>
      <c r="AN136" s="332"/>
      <c r="AO136" s="462"/>
      <c r="AP136" s="462"/>
      <c r="AQ136" s="462"/>
      <c r="AR136" s="462"/>
      <c r="AS136" s="462"/>
      <c r="AT136" s="462"/>
      <c r="AU136" s="462"/>
      <c r="AV136" s="462"/>
      <c r="AW136" s="462"/>
      <c r="AX136" s="462"/>
      <c r="AY136" s="462"/>
    </row>
    <row r="137" spans="2:51" s="168" customFormat="1" ht="15.75">
      <c r="B137" s="9"/>
      <c r="C137" s="25"/>
      <c r="D137" s="25"/>
      <c r="E137" s="25"/>
      <c r="F137" s="25"/>
      <c r="G137" s="25"/>
      <c r="H137" s="25"/>
      <c r="I137" s="25"/>
      <c r="J137" s="25"/>
      <c r="K137" s="92"/>
      <c r="L137" s="92"/>
      <c r="M137" s="92"/>
      <c r="N137" s="92"/>
      <c r="O137" s="92"/>
      <c r="P137" s="92"/>
      <c r="Q137" s="92"/>
      <c r="R137" s="92"/>
      <c r="S137" s="98"/>
      <c r="T137" s="298"/>
      <c r="U137" s="298"/>
      <c r="V137" s="298"/>
      <c r="W137" s="298"/>
      <c r="X137" s="298"/>
      <c r="Y137" s="298"/>
      <c r="Z137" s="298"/>
      <c r="AA137" s="298"/>
      <c r="AB137" s="298"/>
      <c r="AC137" s="298"/>
      <c r="AD137" s="298"/>
      <c r="AE137" s="298"/>
      <c r="AF137" s="125"/>
      <c r="AG137" s="125"/>
      <c r="AM137" s="125"/>
      <c r="AN137" s="332"/>
      <c r="AO137" s="462"/>
      <c r="AP137" s="462"/>
      <c r="AQ137" s="462"/>
      <c r="AR137" s="462"/>
      <c r="AS137" s="462"/>
      <c r="AT137" s="462"/>
      <c r="AU137" s="462"/>
      <c r="AV137" s="462"/>
      <c r="AW137" s="462"/>
      <c r="AX137" s="462"/>
      <c r="AY137" s="462"/>
    </row>
    <row r="138" spans="2:51" s="168" customFormat="1" ht="15.75">
      <c r="B138" s="9" t="s">
        <v>821</v>
      </c>
      <c r="C138" s="25"/>
      <c r="D138" s="25"/>
      <c r="E138" s="25"/>
      <c r="F138" s="25"/>
      <c r="G138" s="25"/>
      <c r="H138" s="25"/>
      <c r="I138" s="25"/>
      <c r="J138" s="25"/>
      <c r="K138" s="92"/>
      <c r="L138" s="92"/>
      <c r="M138" s="92"/>
      <c r="N138" s="92"/>
      <c r="O138" s="92"/>
      <c r="P138" s="92"/>
      <c r="Q138" s="92"/>
      <c r="R138" s="92"/>
      <c r="S138" s="98"/>
      <c r="T138" s="298"/>
      <c r="U138" s="298"/>
      <c r="V138" s="298"/>
      <c r="W138" s="298"/>
      <c r="X138" s="298"/>
      <c r="Y138" s="298"/>
      <c r="Z138" s="298"/>
      <c r="AA138" s="298"/>
      <c r="AB138" s="298"/>
      <c r="AC138" s="298"/>
      <c r="AD138" s="298"/>
      <c r="AE138" s="298"/>
      <c r="AF138" s="125"/>
      <c r="AG138" s="125"/>
      <c r="AM138" s="125"/>
      <c r="AN138" s="332"/>
      <c r="AO138" s="462"/>
      <c r="AP138" s="462"/>
      <c r="AQ138" s="462"/>
      <c r="AR138" s="462"/>
      <c r="AS138" s="462"/>
      <c r="AT138" s="462"/>
      <c r="AU138" s="462"/>
      <c r="AV138" s="462"/>
      <c r="AW138" s="462"/>
      <c r="AX138" s="462"/>
      <c r="AY138" s="462"/>
    </row>
    <row r="139" spans="2:31" ht="15.75">
      <c r="B139" s="9" t="s">
        <v>822</v>
      </c>
      <c r="C139" s="25"/>
      <c r="D139" s="25"/>
      <c r="E139" s="25"/>
      <c r="F139" s="25"/>
      <c r="G139" s="25"/>
      <c r="H139" s="25"/>
      <c r="I139" s="25"/>
      <c r="J139" s="25"/>
      <c r="K139" s="92"/>
      <c r="L139" s="92"/>
      <c r="M139" s="92"/>
      <c r="N139" s="92"/>
      <c r="O139" s="92"/>
      <c r="P139" s="92"/>
      <c r="Q139" s="92"/>
      <c r="R139" s="92"/>
      <c r="S139" s="98"/>
      <c r="T139" s="298"/>
      <c r="U139" s="298"/>
      <c r="V139" s="298"/>
      <c r="W139" s="298"/>
      <c r="X139" s="298"/>
      <c r="Y139" s="298"/>
      <c r="Z139" s="298"/>
      <c r="AA139" s="298"/>
      <c r="AB139" s="298"/>
      <c r="AC139" s="298"/>
      <c r="AD139" s="298"/>
      <c r="AE139" s="298"/>
    </row>
    <row r="140" spans="2:51" s="168" customFormat="1" ht="15.75">
      <c r="B140" s="9" t="s">
        <v>988</v>
      </c>
      <c r="C140" s="25"/>
      <c r="D140" s="25"/>
      <c r="E140" s="25"/>
      <c r="F140" s="25"/>
      <c r="G140" s="25"/>
      <c r="H140" s="25"/>
      <c r="I140" s="25"/>
      <c r="J140" s="25"/>
      <c r="K140" s="92"/>
      <c r="L140" s="92"/>
      <c r="M140" s="92"/>
      <c r="N140" s="92"/>
      <c r="O140" s="92"/>
      <c r="P140" s="92"/>
      <c r="Q140" s="92"/>
      <c r="R140" s="92"/>
      <c r="S140" s="98"/>
      <c r="T140" s="298"/>
      <c r="U140" s="298"/>
      <c r="V140" s="298"/>
      <c r="W140" s="298"/>
      <c r="X140" s="298"/>
      <c r="Y140" s="298"/>
      <c r="Z140" s="298"/>
      <c r="AA140" s="298"/>
      <c r="AB140" s="298"/>
      <c r="AC140" s="298"/>
      <c r="AD140" s="298"/>
      <c r="AE140" s="298"/>
      <c r="AF140" s="125"/>
      <c r="AG140" s="125"/>
      <c r="AM140" s="125"/>
      <c r="AN140" s="332"/>
      <c r="AO140" s="462"/>
      <c r="AP140" s="462"/>
      <c r="AQ140" s="462"/>
      <c r="AR140" s="462"/>
      <c r="AS140" s="462"/>
      <c r="AT140" s="462"/>
      <c r="AU140" s="462"/>
      <c r="AV140" s="462"/>
      <c r="AW140" s="462"/>
      <c r="AX140" s="462"/>
      <c r="AY140" s="462"/>
    </row>
    <row r="141" spans="2:31" ht="15.75">
      <c r="B141" s="9" t="s">
        <v>823</v>
      </c>
      <c r="C141" s="25"/>
      <c r="D141" s="25"/>
      <c r="E141" s="25"/>
      <c r="F141" s="25"/>
      <c r="G141" s="25"/>
      <c r="H141" s="25"/>
      <c r="I141" s="25"/>
      <c r="J141" s="25"/>
      <c r="K141" s="92"/>
      <c r="L141" s="92"/>
      <c r="M141" s="92"/>
      <c r="N141" s="92"/>
      <c r="O141" s="92"/>
      <c r="P141" s="92"/>
      <c r="Q141" s="92"/>
      <c r="R141" s="92"/>
      <c r="S141" s="98"/>
      <c r="T141" s="298"/>
      <c r="U141" s="298"/>
      <c r="V141" s="298"/>
      <c r="W141" s="298"/>
      <c r="X141" s="298"/>
      <c r="Y141" s="298"/>
      <c r="Z141" s="298"/>
      <c r="AA141" s="298"/>
      <c r="AB141" s="298"/>
      <c r="AC141" s="298"/>
      <c r="AD141" s="298"/>
      <c r="AE141" s="298"/>
    </row>
    <row r="142" spans="2:26" ht="15.75">
      <c r="B142" s="9" t="s">
        <v>991</v>
      </c>
      <c r="C142" s="12"/>
      <c r="D142" s="12"/>
      <c r="E142" s="12"/>
      <c r="F142" s="12"/>
      <c r="G142" s="12"/>
      <c r="H142" s="12"/>
      <c r="I142" s="12"/>
      <c r="J142" s="12"/>
      <c r="Z142" s="286"/>
    </row>
    <row r="143" spans="2:26" ht="15.75">
      <c r="B143" s="9"/>
      <c r="C143" s="12"/>
      <c r="D143" s="12"/>
      <c r="E143" s="12"/>
      <c r="F143" s="12"/>
      <c r="G143" s="12"/>
      <c r="H143" s="12"/>
      <c r="I143" s="12"/>
      <c r="J143" s="12"/>
      <c r="Z143" s="286"/>
    </row>
    <row r="144" spans="2:26" ht="15.75">
      <c r="B144" s="9" t="s">
        <v>989</v>
      </c>
      <c r="C144" s="12"/>
      <c r="D144" s="12"/>
      <c r="E144" s="12"/>
      <c r="F144" s="12"/>
      <c r="G144" s="12"/>
      <c r="H144" s="12"/>
      <c r="I144" s="12"/>
      <c r="J144" s="12"/>
      <c r="Z144" s="286"/>
    </row>
    <row r="145" spans="2:26" ht="15">
      <c r="B145" s="12"/>
      <c r="C145" s="12"/>
      <c r="D145" s="12"/>
      <c r="E145" s="12"/>
      <c r="F145" s="12"/>
      <c r="G145" s="12"/>
      <c r="H145" s="12"/>
      <c r="I145" s="12"/>
      <c r="J145" s="12"/>
      <c r="Z145" s="286"/>
    </row>
    <row r="146" spans="2:26" ht="15">
      <c r="B146" s="12"/>
      <c r="C146" s="12"/>
      <c r="D146" s="12"/>
      <c r="E146" s="12"/>
      <c r="F146" s="12"/>
      <c r="G146" s="12"/>
      <c r="H146" s="12"/>
      <c r="I146" s="12"/>
      <c r="J146" s="12"/>
      <c r="Q146" s="522" t="s">
        <v>642</v>
      </c>
      <c r="R146" s="522"/>
      <c r="Z146" s="286"/>
    </row>
    <row r="147" spans="2:26" ht="18.75">
      <c r="B147" s="109" t="s">
        <v>581</v>
      </c>
      <c r="C147" s="131"/>
      <c r="D147" s="131"/>
      <c r="E147" s="131"/>
      <c r="F147" s="131"/>
      <c r="G147" s="131"/>
      <c r="H147" s="110">
        <v>2015</v>
      </c>
      <c r="I147" s="131"/>
      <c r="J147" s="131"/>
      <c r="K147" s="133"/>
      <c r="L147" s="133"/>
      <c r="M147" s="133"/>
      <c r="N147" s="133"/>
      <c r="O147" s="32">
        <v>2023</v>
      </c>
      <c r="P147" s="32">
        <v>2022</v>
      </c>
      <c r="Q147" s="110">
        <v>2021</v>
      </c>
      <c r="R147" s="110">
        <v>2020</v>
      </c>
      <c r="S147" s="110">
        <v>2019</v>
      </c>
      <c r="T147" s="294"/>
      <c r="U147" s="294"/>
      <c r="V147" s="277">
        <v>2018</v>
      </c>
      <c r="W147" s="295">
        <v>2017</v>
      </c>
      <c r="X147" s="300"/>
      <c r="Y147" s="300"/>
      <c r="Z147" s="295">
        <v>2016</v>
      </c>
    </row>
    <row r="148" spans="2:26" ht="20.25">
      <c r="B148" s="182" t="s">
        <v>241</v>
      </c>
      <c r="C148" s="131"/>
      <c r="D148" s="131"/>
      <c r="E148" s="131"/>
      <c r="F148" s="131"/>
      <c r="G148" s="131"/>
      <c r="H148" s="131"/>
      <c r="I148" s="131"/>
      <c r="J148" s="131"/>
      <c r="K148" s="133"/>
      <c r="L148" s="133"/>
      <c r="M148" s="133"/>
      <c r="N148" s="133"/>
      <c r="O148" s="133"/>
      <c r="P148" s="133"/>
      <c r="Q148" s="133"/>
      <c r="R148" s="133"/>
      <c r="S148" s="133"/>
      <c r="T148" s="294"/>
      <c r="U148" s="294"/>
      <c r="V148" s="294"/>
      <c r="W148" s="294"/>
      <c r="X148" s="294"/>
      <c r="Y148" s="294"/>
      <c r="Z148" s="296"/>
    </row>
    <row r="149" spans="2:26" ht="15.75">
      <c r="B149" s="60" t="s">
        <v>112</v>
      </c>
      <c r="C149" s="12"/>
      <c r="D149" s="12"/>
      <c r="E149" s="12"/>
      <c r="F149" s="12"/>
      <c r="G149" s="12"/>
      <c r="H149" s="12"/>
      <c r="I149" s="12"/>
      <c r="J149" s="12"/>
      <c r="Z149" s="286"/>
    </row>
    <row r="150" spans="2:26" ht="15">
      <c r="B150" s="12"/>
      <c r="C150" s="12"/>
      <c r="D150" s="12"/>
      <c r="E150" s="12"/>
      <c r="F150" s="12"/>
      <c r="G150" s="12"/>
      <c r="H150" s="12"/>
      <c r="I150" s="12"/>
      <c r="J150" s="12"/>
      <c r="Z150" s="286"/>
    </row>
    <row r="151" spans="2:26" ht="15.75">
      <c r="B151" s="9" t="s">
        <v>242</v>
      </c>
      <c r="C151" s="60"/>
      <c r="D151" s="60"/>
      <c r="E151" s="60"/>
      <c r="F151" s="60"/>
      <c r="G151" s="60"/>
      <c r="H151" s="61">
        <v>0</v>
      </c>
      <c r="I151" s="61"/>
      <c r="J151" s="61"/>
      <c r="K151" s="112"/>
      <c r="L151" s="112"/>
      <c r="M151" s="112"/>
      <c r="N151" s="112"/>
      <c r="O151" s="658">
        <v>630192.79</v>
      </c>
      <c r="P151" s="658">
        <v>517069.59</v>
      </c>
      <c r="Q151" s="199">
        <v>102231.28</v>
      </c>
      <c r="R151" s="75">
        <v>352124.38</v>
      </c>
      <c r="S151" s="75">
        <v>71208.09</v>
      </c>
      <c r="T151" s="115"/>
      <c r="U151" s="115"/>
      <c r="V151" s="114">
        <v>119218.21</v>
      </c>
      <c r="W151" s="114">
        <v>18829.58</v>
      </c>
      <c r="X151" s="115"/>
      <c r="Y151" s="115"/>
      <c r="Z151" s="114">
        <v>908762.41</v>
      </c>
    </row>
    <row r="152" spans="2:26" ht="15.75">
      <c r="B152" s="60" t="s">
        <v>243</v>
      </c>
      <c r="C152" s="60"/>
      <c r="D152" s="60"/>
      <c r="E152" s="60"/>
      <c r="F152" s="60"/>
      <c r="G152" s="60"/>
      <c r="H152" s="61">
        <v>0</v>
      </c>
      <c r="I152" s="61"/>
      <c r="J152" s="61"/>
      <c r="K152" s="112"/>
      <c r="L152" s="112"/>
      <c r="M152" s="112"/>
      <c r="N152" s="112"/>
      <c r="O152" s="658">
        <v>3981703.63</v>
      </c>
      <c r="P152" s="658">
        <v>3611956.07</v>
      </c>
      <c r="Q152" s="199">
        <v>3060629.2</v>
      </c>
      <c r="R152" s="75">
        <v>2617395.71</v>
      </c>
      <c r="S152" s="75">
        <v>2748045.72</v>
      </c>
      <c r="T152" s="115"/>
      <c r="U152" s="115"/>
      <c r="V152" s="114">
        <v>1934912.33</v>
      </c>
      <c r="W152" s="114">
        <v>2139579.79</v>
      </c>
      <c r="X152" s="115"/>
      <c r="Y152" s="115"/>
      <c r="Z152" s="114">
        <v>1407147.49</v>
      </c>
    </row>
    <row r="153" spans="2:26" ht="15.75">
      <c r="B153" s="60" t="s">
        <v>244</v>
      </c>
      <c r="C153" s="60"/>
      <c r="D153" s="60"/>
      <c r="E153" s="60"/>
      <c r="F153" s="60"/>
      <c r="G153" s="60"/>
      <c r="H153" s="61">
        <v>0</v>
      </c>
      <c r="I153" s="61"/>
      <c r="J153" s="61"/>
      <c r="K153" s="112"/>
      <c r="L153" s="112"/>
      <c r="M153" s="112"/>
      <c r="N153" s="112"/>
      <c r="O153" s="658">
        <v>38217.58</v>
      </c>
      <c r="P153" s="658">
        <v>1323.11</v>
      </c>
      <c r="Q153" s="199">
        <v>3443.26</v>
      </c>
      <c r="R153" s="75">
        <v>100952.87</v>
      </c>
      <c r="S153" s="75">
        <v>21504.38</v>
      </c>
      <c r="T153" s="115"/>
      <c r="U153" s="115"/>
      <c r="V153" s="114">
        <v>49487.71</v>
      </c>
      <c r="W153" s="114">
        <v>33983.52</v>
      </c>
      <c r="X153" s="115"/>
      <c r="Y153" s="115"/>
      <c r="Z153" s="114">
        <v>75340.49</v>
      </c>
    </row>
    <row r="154" spans="2:26" ht="15.75">
      <c r="B154" s="60" t="s">
        <v>245</v>
      </c>
      <c r="C154" s="60"/>
      <c r="D154" s="60"/>
      <c r="E154" s="60"/>
      <c r="F154" s="60"/>
      <c r="G154" s="60"/>
      <c r="H154" s="61">
        <v>0</v>
      </c>
      <c r="I154" s="61"/>
      <c r="J154" s="61"/>
      <c r="K154" s="112"/>
      <c r="L154" s="112"/>
      <c r="M154" s="112"/>
      <c r="N154" s="112"/>
      <c r="O154" s="658">
        <v>923129.15</v>
      </c>
      <c r="P154" s="658">
        <v>897456.31</v>
      </c>
      <c r="Q154" s="199">
        <v>723899.02</v>
      </c>
      <c r="R154" s="75">
        <v>656486.04</v>
      </c>
      <c r="S154" s="75">
        <v>268308.8</v>
      </c>
      <c r="T154" s="115"/>
      <c r="U154" s="115"/>
      <c r="V154" s="114">
        <v>39577.77</v>
      </c>
      <c r="W154" s="114">
        <v>449452.45</v>
      </c>
      <c r="X154" s="115"/>
      <c r="Y154" s="115"/>
      <c r="Z154" s="114">
        <v>78817.08</v>
      </c>
    </row>
    <row r="155" spans="2:26" ht="15.75">
      <c r="B155" s="60" t="s">
        <v>246</v>
      </c>
      <c r="C155" s="60"/>
      <c r="D155" s="60"/>
      <c r="E155" s="60"/>
      <c r="F155" s="60"/>
      <c r="G155" s="60"/>
      <c r="H155" s="61">
        <v>0</v>
      </c>
      <c r="I155" s="61"/>
      <c r="J155" s="61"/>
      <c r="K155" s="112"/>
      <c r="L155" s="112"/>
      <c r="M155" s="112"/>
      <c r="N155" s="112"/>
      <c r="O155" s="658">
        <v>218785.66</v>
      </c>
      <c r="P155" s="658">
        <v>138294.32</v>
      </c>
      <c r="Q155" s="199">
        <v>116555.7</v>
      </c>
      <c r="R155" s="75">
        <v>116883.7</v>
      </c>
      <c r="S155" s="75">
        <v>63066.3</v>
      </c>
      <c r="T155" s="115"/>
      <c r="U155" s="115"/>
      <c r="V155" s="114">
        <v>46421.5</v>
      </c>
      <c r="W155" s="114">
        <v>28934.52</v>
      </c>
      <c r="X155" s="115"/>
      <c r="Y155" s="115"/>
      <c r="Z155" s="114">
        <v>51261.82</v>
      </c>
    </row>
    <row r="156" spans="2:26" ht="15.75">
      <c r="B156" s="60" t="s">
        <v>247</v>
      </c>
      <c r="C156" s="60"/>
      <c r="D156" s="60"/>
      <c r="E156" s="60"/>
      <c r="F156" s="60"/>
      <c r="G156" s="60"/>
      <c r="H156" s="61">
        <v>0</v>
      </c>
      <c r="I156" s="61"/>
      <c r="J156" s="61"/>
      <c r="K156" s="112"/>
      <c r="L156" s="112"/>
      <c r="M156" s="112"/>
      <c r="N156" s="112"/>
      <c r="O156" s="658">
        <v>485453.4</v>
      </c>
      <c r="P156" s="658">
        <v>438499.63</v>
      </c>
      <c r="Q156" s="199">
        <v>133401.16</v>
      </c>
      <c r="R156" s="75">
        <v>361649.89</v>
      </c>
      <c r="S156" s="75">
        <v>182627.44</v>
      </c>
      <c r="T156" s="115"/>
      <c r="U156" s="115"/>
      <c r="V156" s="114">
        <v>163708.98</v>
      </c>
      <c r="W156" s="114">
        <v>926.21</v>
      </c>
      <c r="X156" s="115"/>
      <c r="Y156" s="115"/>
      <c r="Z156" s="114">
        <v>274115.69</v>
      </c>
    </row>
    <row r="157" spans="2:26" ht="15.75">
      <c r="B157" s="60" t="s">
        <v>248</v>
      </c>
      <c r="C157" s="60"/>
      <c r="D157" s="60"/>
      <c r="E157" s="60"/>
      <c r="F157" s="60"/>
      <c r="G157" s="60"/>
      <c r="H157" s="61">
        <v>0</v>
      </c>
      <c r="I157" s="61"/>
      <c r="J157" s="61"/>
      <c r="K157" s="112"/>
      <c r="L157" s="112"/>
      <c r="M157" s="112"/>
      <c r="N157" s="112"/>
      <c r="O157" s="658">
        <v>1122128.21</v>
      </c>
      <c r="P157" s="658">
        <v>767162.64</v>
      </c>
      <c r="Q157" s="199">
        <v>425451.11</v>
      </c>
      <c r="R157" s="75">
        <v>374255.5</v>
      </c>
      <c r="S157" s="75">
        <v>348894.19</v>
      </c>
      <c r="T157" s="115"/>
      <c r="U157" s="115"/>
      <c r="V157" s="114">
        <v>140904.94</v>
      </c>
      <c r="W157" s="114">
        <v>161427.18</v>
      </c>
      <c r="X157" s="115"/>
      <c r="Y157" s="115"/>
      <c r="Z157" s="114">
        <v>94277.5</v>
      </c>
    </row>
    <row r="158" spans="2:26" ht="15.75">
      <c r="B158" s="60" t="s">
        <v>249</v>
      </c>
      <c r="C158" s="60"/>
      <c r="D158" s="60"/>
      <c r="E158" s="60"/>
      <c r="F158" s="60"/>
      <c r="G158" s="60"/>
      <c r="H158" s="61">
        <v>0</v>
      </c>
      <c r="I158" s="61"/>
      <c r="J158" s="61"/>
      <c r="K158" s="112"/>
      <c r="L158" s="112"/>
      <c r="M158" s="112"/>
      <c r="N158" s="112"/>
      <c r="O158" s="658">
        <v>2399054.93</v>
      </c>
      <c r="P158" s="658">
        <v>1054871.35</v>
      </c>
      <c r="Q158" s="199">
        <v>522037.53</v>
      </c>
      <c r="R158" s="75">
        <v>726117.41</v>
      </c>
      <c r="S158" s="75">
        <v>729809.15</v>
      </c>
      <c r="T158" s="115"/>
      <c r="U158" s="115"/>
      <c r="V158" s="114">
        <v>324268.07</v>
      </c>
      <c r="W158" s="114">
        <v>367550.46</v>
      </c>
      <c r="X158" s="115"/>
      <c r="Y158" s="115"/>
      <c r="Z158" s="114">
        <v>141568.66</v>
      </c>
    </row>
    <row r="159" spans="2:26" ht="21" thickBot="1">
      <c r="B159" s="182" t="s">
        <v>250</v>
      </c>
      <c r="C159" s="60"/>
      <c r="D159" s="60"/>
      <c r="E159" s="60"/>
      <c r="F159" s="60"/>
      <c r="G159" s="60"/>
      <c r="H159" s="66">
        <f>SUM(H151:H158)</f>
        <v>0</v>
      </c>
      <c r="I159" s="73"/>
      <c r="J159" s="73"/>
      <c r="K159" s="112"/>
      <c r="L159" s="112"/>
      <c r="M159" s="112"/>
      <c r="N159" s="112"/>
      <c r="O159" s="660">
        <f>SUM(O151:O158)</f>
        <v>9798665.350000001</v>
      </c>
      <c r="P159" s="660">
        <f>SUM(P151:P158)</f>
        <v>7426633.02</v>
      </c>
      <c r="Q159" s="200">
        <f>SUM(Q151:Q158)</f>
        <v>5087648.260000001</v>
      </c>
      <c r="R159" s="200">
        <f>SUM(R151:R158)</f>
        <v>5305865.5</v>
      </c>
      <c r="S159" s="200">
        <f>SUM(S151:S158)</f>
        <v>4433464.069999999</v>
      </c>
      <c r="T159" s="115"/>
      <c r="U159" s="115"/>
      <c r="V159" s="301">
        <f>SUM(V151:V158)</f>
        <v>2818499.51</v>
      </c>
      <c r="W159" s="301">
        <f>SUM(W151:W158)</f>
        <v>3200683.7100000004</v>
      </c>
      <c r="X159" s="115"/>
      <c r="Y159" s="115"/>
      <c r="Z159" s="301">
        <f>SUM(Z151:Z158)</f>
        <v>3031291.14</v>
      </c>
    </row>
    <row r="160" spans="2:26" ht="15.75" thickTop="1">
      <c r="B160" s="12"/>
      <c r="C160" s="12"/>
      <c r="D160" s="12"/>
      <c r="E160" s="12"/>
      <c r="F160" s="12"/>
      <c r="G160" s="12"/>
      <c r="H160" s="12"/>
      <c r="I160" s="12"/>
      <c r="J160" s="12"/>
      <c r="Z160" s="286"/>
    </row>
    <row r="161" spans="2:51" s="456" customFormat="1" ht="15">
      <c r="B161" s="12"/>
      <c r="C161" s="12"/>
      <c r="D161" s="12"/>
      <c r="E161" s="12"/>
      <c r="F161" s="12"/>
      <c r="G161" s="12"/>
      <c r="H161" s="12"/>
      <c r="I161" s="12"/>
      <c r="J161" s="12"/>
      <c r="T161" s="462"/>
      <c r="U161" s="462"/>
      <c r="V161" s="462"/>
      <c r="W161" s="462"/>
      <c r="X161" s="462"/>
      <c r="Y161" s="462"/>
      <c r="Z161" s="286"/>
      <c r="AA161" s="462"/>
      <c r="AB161" s="462"/>
      <c r="AC161" s="462"/>
      <c r="AD161" s="462"/>
      <c r="AE161" s="462"/>
      <c r="AF161" s="462"/>
      <c r="AG161" s="462"/>
      <c r="AM161" s="462"/>
      <c r="AN161" s="332"/>
      <c r="AO161" s="462"/>
      <c r="AP161" s="462"/>
      <c r="AQ161" s="462"/>
      <c r="AR161" s="462"/>
      <c r="AS161" s="462"/>
      <c r="AT161" s="462"/>
      <c r="AU161" s="462"/>
      <c r="AV161" s="462"/>
      <c r="AW161" s="462"/>
      <c r="AX161" s="462"/>
      <c r="AY161" s="462"/>
    </row>
    <row r="162" spans="2:51" s="456" customFormat="1" ht="15">
      <c r="B162" s="12"/>
      <c r="C162" s="12"/>
      <c r="D162" s="12"/>
      <c r="E162" s="12"/>
      <c r="F162" s="12"/>
      <c r="G162" s="12"/>
      <c r="H162" s="12"/>
      <c r="I162" s="12"/>
      <c r="J162" s="12"/>
      <c r="T162" s="462"/>
      <c r="U162" s="462"/>
      <c r="V162" s="462"/>
      <c r="W162" s="462"/>
      <c r="X162" s="462"/>
      <c r="Y162" s="462"/>
      <c r="Z162" s="286"/>
      <c r="AA162" s="462"/>
      <c r="AB162" s="462"/>
      <c r="AC162" s="462"/>
      <c r="AD162" s="462"/>
      <c r="AE162" s="462"/>
      <c r="AF162" s="462"/>
      <c r="AG162" s="462"/>
      <c r="AM162" s="462"/>
      <c r="AN162" s="332"/>
      <c r="AO162" s="462"/>
      <c r="AP162" s="462"/>
      <c r="AQ162" s="462"/>
      <c r="AR162" s="462"/>
      <c r="AS162" s="462"/>
      <c r="AT162" s="462"/>
      <c r="AU162" s="462"/>
      <c r="AV162" s="462"/>
      <c r="AW162" s="462"/>
      <c r="AX162" s="462"/>
      <c r="AY162" s="462"/>
    </row>
    <row r="163" spans="2:26" ht="18.75">
      <c r="B163" s="109" t="s">
        <v>554</v>
      </c>
      <c r="C163" s="131"/>
      <c r="D163" s="131"/>
      <c r="E163" s="131"/>
      <c r="F163" s="131"/>
      <c r="G163" s="131"/>
      <c r="H163" s="131"/>
      <c r="I163" s="131"/>
      <c r="J163" s="131"/>
      <c r="K163" s="133"/>
      <c r="L163" s="133"/>
      <c r="M163" s="133"/>
      <c r="N163" s="133"/>
      <c r="O163" s="641"/>
      <c r="P163" s="458"/>
      <c r="Q163" s="522" t="s">
        <v>642</v>
      </c>
      <c r="R163" s="522"/>
      <c r="S163" s="217"/>
      <c r="T163" s="294"/>
      <c r="U163" s="294"/>
      <c r="V163" s="277">
        <v>2018</v>
      </c>
      <c r="W163" s="295">
        <v>2017</v>
      </c>
      <c r="X163" s="300"/>
      <c r="Y163" s="300"/>
      <c r="Z163" s="295">
        <v>2016</v>
      </c>
    </row>
    <row r="164" spans="2:26" ht="20.25">
      <c r="B164" s="182" t="s">
        <v>111</v>
      </c>
      <c r="C164" s="131"/>
      <c r="D164" s="131"/>
      <c r="E164" s="131"/>
      <c r="F164" s="131"/>
      <c r="G164" s="131"/>
      <c r="H164" s="131"/>
      <c r="I164" s="131"/>
      <c r="J164" s="131"/>
      <c r="K164" s="133"/>
      <c r="L164" s="133"/>
      <c r="M164" s="133"/>
      <c r="N164" s="133"/>
      <c r="O164" s="32">
        <v>2023</v>
      </c>
      <c r="P164" s="32">
        <v>2022</v>
      </c>
      <c r="Q164" s="110">
        <v>2021</v>
      </c>
      <c r="R164" s="110">
        <v>2020</v>
      </c>
      <c r="S164" s="110">
        <v>2019</v>
      </c>
      <c r="T164" s="294"/>
      <c r="U164" s="294"/>
      <c r="V164" s="294"/>
      <c r="W164" s="294"/>
      <c r="X164" s="294"/>
      <c r="Y164" s="294"/>
      <c r="Z164" s="296"/>
    </row>
    <row r="165" spans="2:26" ht="15.75">
      <c r="B165" s="60" t="s">
        <v>112</v>
      </c>
      <c r="C165" s="12"/>
      <c r="D165" s="12"/>
      <c r="E165" s="12"/>
      <c r="F165" s="12"/>
      <c r="G165" s="12"/>
      <c r="H165" s="12"/>
      <c r="I165" s="12"/>
      <c r="J165" s="12"/>
      <c r="Z165" s="286"/>
    </row>
    <row r="166" spans="2:26" ht="15">
      <c r="B166" s="12"/>
      <c r="C166" s="12"/>
      <c r="D166" s="12"/>
      <c r="E166" s="12"/>
      <c r="F166" s="12"/>
      <c r="G166" s="12"/>
      <c r="H166" s="12"/>
      <c r="I166" s="12"/>
      <c r="J166" s="12"/>
      <c r="Z166" s="286"/>
    </row>
    <row r="167" spans="2:38" ht="15.75">
      <c r="B167" s="60" t="s">
        <v>837</v>
      </c>
      <c r="C167" s="60"/>
      <c r="D167" s="60"/>
      <c r="E167" s="60"/>
      <c r="F167" s="60"/>
      <c r="G167" s="60"/>
      <c r="H167" s="61">
        <v>2455.88</v>
      </c>
      <c r="I167" s="61"/>
      <c r="J167" s="61"/>
      <c r="K167" s="112"/>
      <c r="L167" s="112"/>
      <c r="M167" s="112"/>
      <c r="N167" s="112"/>
      <c r="O167" s="658">
        <v>1140929.21</v>
      </c>
      <c r="P167" s="658">
        <v>941085.88</v>
      </c>
      <c r="Q167" s="658">
        <v>611300.7</v>
      </c>
      <c r="R167" s="658">
        <v>677302.39</v>
      </c>
      <c r="S167" s="658">
        <v>705863.58</v>
      </c>
      <c r="T167" s="661"/>
      <c r="U167" s="661"/>
      <c r="V167" s="662">
        <v>685401.08</v>
      </c>
      <c r="W167" s="662">
        <v>501489.76</v>
      </c>
      <c r="X167" s="661"/>
      <c r="Y167" s="661"/>
      <c r="Z167" s="662">
        <v>450046.41</v>
      </c>
      <c r="AA167" s="663"/>
      <c r="AB167" s="663"/>
      <c r="AC167" s="663"/>
      <c r="AD167" s="663"/>
      <c r="AE167" s="663"/>
      <c r="AF167" s="663"/>
      <c r="AG167" s="663"/>
      <c r="AH167" s="664"/>
      <c r="AI167" s="664"/>
      <c r="AJ167" s="664"/>
      <c r="AK167" s="664"/>
      <c r="AL167" s="664"/>
    </row>
    <row r="168" spans="2:38" ht="15.75">
      <c r="B168" s="60" t="s">
        <v>113</v>
      </c>
      <c r="C168" s="60"/>
      <c r="D168" s="60"/>
      <c r="E168" s="60"/>
      <c r="F168" s="60"/>
      <c r="G168" s="60"/>
      <c r="H168" s="61">
        <v>120167.85</v>
      </c>
      <c r="I168" s="61"/>
      <c r="J168" s="61"/>
      <c r="K168" s="112"/>
      <c r="L168" s="112"/>
      <c r="M168" s="112"/>
      <c r="N168" s="112"/>
      <c r="O168" s="658">
        <v>786122.82</v>
      </c>
      <c r="P168" s="658">
        <v>711850.23</v>
      </c>
      <c r="Q168" s="658">
        <v>786046.09</v>
      </c>
      <c r="R168" s="658">
        <v>711184.45</v>
      </c>
      <c r="S168" s="658">
        <v>709977.32</v>
      </c>
      <c r="T168" s="661"/>
      <c r="U168" s="661"/>
      <c r="V168" s="662">
        <v>764763.35</v>
      </c>
      <c r="W168" s="662">
        <v>736984.56</v>
      </c>
      <c r="X168" s="661"/>
      <c r="Y168" s="661"/>
      <c r="Z168" s="662">
        <v>736984.56</v>
      </c>
      <c r="AA168" s="663"/>
      <c r="AB168" s="663"/>
      <c r="AC168" s="663"/>
      <c r="AD168" s="663"/>
      <c r="AE168" s="663"/>
      <c r="AF168" s="663"/>
      <c r="AG168" s="663"/>
      <c r="AH168" s="664"/>
      <c r="AI168" s="664"/>
      <c r="AJ168" s="664"/>
      <c r="AK168" s="664"/>
      <c r="AL168" s="664"/>
    </row>
    <row r="169" spans="2:38" ht="15.75">
      <c r="B169" s="60" t="s">
        <v>114</v>
      </c>
      <c r="C169" s="60"/>
      <c r="D169" s="60"/>
      <c r="E169" s="60"/>
      <c r="F169" s="60"/>
      <c r="G169" s="60"/>
      <c r="H169" s="61">
        <v>9649.65</v>
      </c>
      <c r="I169" s="61"/>
      <c r="J169" s="61"/>
      <c r="K169" s="112"/>
      <c r="L169" s="112"/>
      <c r="M169" s="112"/>
      <c r="N169" s="112"/>
      <c r="O169" s="658">
        <v>9649.75</v>
      </c>
      <c r="P169" s="658"/>
      <c r="Q169" s="658">
        <v>9166.77</v>
      </c>
      <c r="R169" s="658">
        <v>9166.75</v>
      </c>
      <c r="S169" s="658">
        <v>9134.74</v>
      </c>
      <c r="T169" s="661"/>
      <c r="U169" s="661"/>
      <c r="V169" s="662">
        <v>9649.64</v>
      </c>
      <c r="W169" s="662">
        <v>9649.57</v>
      </c>
      <c r="X169" s="661"/>
      <c r="Y169" s="661"/>
      <c r="Z169" s="662">
        <v>9649.6</v>
      </c>
      <c r="AA169" s="663"/>
      <c r="AB169" s="663"/>
      <c r="AC169" s="663"/>
      <c r="AD169" s="663"/>
      <c r="AE169" s="663"/>
      <c r="AF169" s="663"/>
      <c r="AG169" s="663"/>
      <c r="AH169" s="664"/>
      <c r="AI169" s="664"/>
      <c r="AJ169" s="664"/>
      <c r="AK169" s="664"/>
      <c r="AL169" s="664"/>
    </row>
    <row r="170" spans="1:38" ht="15.75">
      <c r="A170" s="168"/>
      <c r="B170" s="60" t="s">
        <v>270</v>
      </c>
      <c r="C170" s="60"/>
      <c r="D170" s="60"/>
      <c r="E170" s="60"/>
      <c r="F170" s="60"/>
      <c r="G170" s="60"/>
      <c r="H170" s="61">
        <v>30383.94</v>
      </c>
      <c r="I170" s="61"/>
      <c r="J170" s="61"/>
      <c r="K170" s="112"/>
      <c r="L170" s="112"/>
      <c r="M170" s="112"/>
      <c r="N170" s="112"/>
      <c r="O170" s="658">
        <v>11926.48</v>
      </c>
      <c r="P170" s="658">
        <v>11081.62</v>
      </c>
      <c r="Q170" s="658"/>
      <c r="R170" s="658">
        <v>28484.95</v>
      </c>
      <c r="S170" s="658">
        <v>28178.78</v>
      </c>
      <c r="T170" s="661"/>
      <c r="U170" s="661"/>
      <c r="V170" s="662">
        <v>30383.96</v>
      </c>
      <c r="W170" s="662">
        <v>30383.96</v>
      </c>
      <c r="X170" s="661"/>
      <c r="Y170" s="661"/>
      <c r="Z170" s="662">
        <v>30383.95</v>
      </c>
      <c r="AA170" s="663"/>
      <c r="AB170" s="663"/>
      <c r="AC170" s="663"/>
      <c r="AD170" s="663"/>
      <c r="AE170" s="663"/>
      <c r="AF170" s="663"/>
      <c r="AG170" s="663"/>
      <c r="AH170" s="664"/>
      <c r="AI170" s="664"/>
      <c r="AJ170" s="664"/>
      <c r="AK170" s="664"/>
      <c r="AL170" s="664"/>
    </row>
    <row r="171" spans="2:38" ht="16.5" thickBot="1">
      <c r="B171" s="60" t="s">
        <v>115</v>
      </c>
      <c r="C171" s="60"/>
      <c r="D171" s="60"/>
      <c r="E171" s="60"/>
      <c r="F171" s="60"/>
      <c r="G171" s="60"/>
      <c r="H171" s="61">
        <v>42000</v>
      </c>
      <c r="I171" s="61"/>
      <c r="J171" s="61"/>
      <c r="K171" s="112"/>
      <c r="L171" s="112"/>
      <c r="M171" s="112"/>
      <c r="N171" s="112"/>
      <c r="O171" s="656">
        <v>42000</v>
      </c>
      <c r="P171" s="656">
        <v>42000</v>
      </c>
      <c r="Q171" s="656">
        <v>42000</v>
      </c>
      <c r="R171" s="656">
        <v>42000</v>
      </c>
      <c r="S171" s="657">
        <v>42000</v>
      </c>
      <c r="T171" s="661"/>
      <c r="U171" s="661"/>
      <c r="V171" s="665">
        <v>42000</v>
      </c>
      <c r="W171" s="665">
        <v>42000</v>
      </c>
      <c r="X171" s="661"/>
      <c r="Y171" s="661"/>
      <c r="Z171" s="665">
        <v>42000</v>
      </c>
      <c r="AA171" s="663"/>
      <c r="AB171" s="663"/>
      <c r="AC171" s="663"/>
      <c r="AD171" s="663"/>
      <c r="AE171" s="663"/>
      <c r="AF171" s="663"/>
      <c r="AG171" s="663"/>
      <c r="AH171" s="664"/>
      <c r="AI171" s="664"/>
      <c r="AJ171" s="664"/>
      <c r="AK171" s="664"/>
      <c r="AL171" s="664"/>
    </row>
    <row r="172" spans="2:51" s="168" customFormat="1" ht="16.5" thickBot="1">
      <c r="B172" s="60" t="s">
        <v>666</v>
      </c>
      <c r="C172" s="60"/>
      <c r="D172" s="60"/>
      <c r="E172" s="60"/>
      <c r="F172" s="60"/>
      <c r="G172" s="60"/>
      <c r="H172" s="61"/>
      <c r="I172" s="61"/>
      <c r="J172" s="61"/>
      <c r="K172" s="128"/>
      <c r="L172" s="128"/>
      <c r="M172" s="128"/>
      <c r="N172" s="128"/>
      <c r="O172" s="657">
        <v>0</v>
      </c>
      <c r="P172" s="657">
        <f>121600-10133.34-675.56</f>
        <v>110791.1</v>
      </c>
      <c r="Q172" s="657">
        <v>892482.68</v>
      </c>
      <c r="R172" s="657">
        <v>0</v>
      </c>
      <c r="S172" s="656"/>
      <c r="T172" s="661"/>
      <c r="U172" s="661"/>
      <c r="V172" s="666"/>
      <c r="W172" s="666"/>
      <c r="X172" s="661"/>
      <c r="Y172" s="661"/>
      <c r="Z172" s="666"/>
      <c r="AA172" s="663"/>
      <c r="AB172" s="663"/>
      <c r="AC172" s="663"/>
      <c r="AD172" s="663"/>
      <c r="AE172" s="663"/>
      <c r="AF172" s="663"/>
      <c r="AG172" s="663"/>
      <c r="AH172" s="664"/>
      <c r="AI172" s="664"/>
      <c r="AJ172" s="664"/>
      <c r="AK172" s="664"/>
      <c r="AL172" s="664"/>
      <c r="AM172" s="125"/>
      <c r="AN172" s="332"/>
      <c r="AO172" s="462"/>
      <c r="AP172" s="462"/>
      <c r="AQ172" s="462"/>
      <c r="AR172" s="462"/>
      <c r="AS172" s="462"/>
      <c r="AT172" s="462"/>
      <c r="AU172" s="462"/>
      <c r="AV172" s="462"/>
      <c r="AW172" s="462"/>
      <c r="AX172" s="462"/>
      <c r="AY172" s="462"/>
    </row>
    <row r="173" spans="2:38" ht="21" thickBot="1">
      <c r="B173" s="182" t="s">
        <v>116</v>
      </c>
      <c r="C173" s="60"/>
      <c r="D173" s="60"/>
      <c r="E173" s="60"/>
      <c r="F173" s="60"/>
      <c r="G173" s="60"/>
      <c r="H173" s="66">
        <f>SUM(H167:H171)</f>
        <v>204657.32</v>
      </c>
      <c r="I173" s="73"/>
      <c r="J173" s="73"/>
      <c r="K173" s="112"/>
      <c r="L173" s="112"/>
      <c r="M173" s="112"/>
      <c r="N173" s="112"/>
      <c r="O173" s="660">
        <f>SUM(O167:O172)</f>
        <v>1990628.2599999998</v>
      </c>
      <c r="P173" s="660">
        <f>SUM(P167:P172)</f>
        <v>1816808.83</v>
      </c>
      <c r="Q173" s="660">
        <f>SUM(Q167:Q172)</f>
        <v>2340996.24</v>
      </c>
      <c r="R173" s="660">
        <f>SUM(R167:R171)</f>
        <v>1468138.5399999998</v>
      </c>
      <c r="S173" s="660">
        <f>SUM(S167:S171)</f>
        <v>1495154.42</v>
      </c>
      <c r="T173" s="661"/>
      <c r="U173" s="661"/>
      <c r="V173" s="667">
        <f>SUM(V167:V171)</f>
        <v>1532198.0299999998</v>
      </c>
      <c r="W173" s="667">
        <f>SUM(W167:W171)</f>
        <v>1320507.85</v>
      </c>
      <c r="X173" s="661"/>
      <c r="Y173" s="661"/>
      <c r="Z173" s="667">
        <f>SUM(Z167:Z171)</f>
        <v>1269064.52</v>
      </c>
      <c r="AA173" s="663"/>
      <c r="AB173" s="663"/>
      <c r="AC173" s="663"/>
      <c r="AD173" s="663"/>
      <c r="AE173" s="663"/>
      <c r="AF173" s="663"/>
      <c r="AG173" s="663"/>
      <c r="AH173" s="664"/>
      <c r="AI173" s="664"/>
      <c r="AJ173" s="664"/>
      <c r="AK173" s="664"/>
      <c r="AL173" s="664"/>
    </row>
    <row r="174" spans="2:38" ht="17.25" thickTop="1">
      <c r="B174" s="72"/>
      <c r="C174" s="12"/>
      <c r="D174" s="12"/>
      <c r="E174" s="12"/>
      <c r="F174" s="12"/>
      <c r="G174" s="12"/>
      <c r="H174" s="136"/>
      <c r="I174" s="136"/>
      <c r="J174" s="136"/>
      <c r="O174" s="664"/>
      <c r="P174" s="664"/>
      <c r="Q174" s="664"/>
      <c r="R174" s="664"/>
      <c r="S174" s="664"/>
      <c r="T174" s="663"/>
      <c r="U174" s="663"/>
      <c r="V174" s="663"/>
      <c r="W174" s="663"/>
      <c r="X174" s="663"/>
      <c r="Y174" s="663"/>
      <c r="Z174" s="668"/>
      <c r="AA174" s="663"/>
      <c r="AB174" s="663"/>
      <c r="AC174" s="663"/>
      <c r="AD174" s="663"/>
      <c r="AE174" s="663"/>
      <c r="AF174" s="663"/>
      <c r="AG174" s="663"/>
      <c r="AH174" s="664"/>
      <c r="AI174" s="664"/>
      <c r="AJ174" s="664"/>
      <c r="AK174" s="664"/>
      <c r="AL174" s="664"/>
    </row>
    <row r="175" spans="2:51" s="168" customFormat="1" ht="16.5">
      <c r="B175" s="72"/>
      <c r="C175" s="12"/>
      <c r="D175" s="12"/>
      <c r="E175" s="12"/>
      <c r="F175" s="12"/>
      <c r="G175" s="12"/>
      <c r="H175" s="136"/>
      <c r="I175" s="136"/>
      <c r="J175" s="136"/>
      <c r="O175" s="456"/>
      <c r="T175" s="125"/>
      <c r="U175" s="125"/>
      <c r="V175" s="125"/>
      <c r="W175" s="125"/>
      <c r="X175" s="125"/>
      <c r="Y175" s="125"/>
      <c r="Z175" s="286"/>
      <c r="AA175" s="125"/>
      <c r="AB175" s="125"/>
      <c r="AC175" s="125"/>
      <c r="AD175" s="125"/>
      <c r="AE175" s="125"/>
      <c r="AF175" s="125"/>
      <c r="AG175" s="125"/>
      <c r="AM175" s="125"/>
      <c r="AN175" s="332"/>
      <c r="AO175" s="462"/>
      <c r="AP175" s="462"/>
      <c r="AQ175" s="462"/>
      <c r="AR175" s="462"/>
      <c r="AS175" s="462"/>
      <c r="AT175" s="462"/>
      <c r="AU175" s="462"/>
      <c r="AV175" s="462"/>
      <c r="AW175" s="462"/>
      <c r="AX175" s="462"/>
      <c r="AY175" s="462"/>
    </row>
    <row r="176" spans="2:51" s="168" customFormat="1" ht="16.5">
      <c r="B176" s="72"/>
      <c r="C176" s="12"/>
      <c r="D176" s="12"/>
      <c r="E176" s="12"/>
      <c r="F176" s="12"/>
      <c r="G176" s="12"/>
      <c r="H176" s="136"/>
      <c r="I176" s="136"/>
      <c r="J176" s="136"/>
      <c r="O176" s="456"/>
      <c r="T176" s="125"/>
      <c r="U176" s="125"/>
      <c r="V176" s="125"/>
      <c r="W176" s="125"/>
      <c r="X176" s="125"/>
      <c r="Y176" s="125"/>
      <c r="Z176" s="286"/>
      <c r="AA176" s="125"/>
      <c r="AB176" s="125"/>
      <c r="AC176" s="125"/>
      <c r="AD176" s="125"/>
      <c r="AE176" s="125"/>
      <c r="AF176" s="125"/>
      <c r="AG176" s="125"/>
      <c r="AM176" s="125"/>
      <c r="AN176" s="332"/>
      <c r="AO176" s="462"/>
      <c r="AP176" s="462"/>
      <c r="AQ176" s="462"/>
      <c r="AR176" s="462"/>
      <c r="AS176" s="462"/>
      <c r="AT176" s="462"/>
      <c r="AU176" s="462"/>
      <c r="AV176" s="462"/>
      <c r="AW176" s="462"/>
      <c r="AX176" s="462"/>
      <c r="AY176" s="462"/>
    </row>
    <row r="177" spans="1:51" s="168" customFormat="1" ht="18.75">
      <c r="A177" s="128"/>
      <c r="B177" s="109" t="s">
        <v>582</v>
      </c>
      <c r="C177" s="12"/>
      <c r="D177" s="12"/>
      <c r="E177" s="12"/>
      <c r="F177" s="12"/>
      <c r="G177" s="12"/>
      <c r="H177" s="136"/>
      <c r="I177" s="136"/>
      <c r="J177" s="136"/>
      <c r="O177" s="456"/>
      <c r="Q177" s="522" t="s">
        <v>642</v>
      </c>
      <c r="R177" s="522"/>
      <c r="T177" s="125"/>
      <c r="U177" s="125"/>
      <c r="V177" s="125"/>
      <c r="W177" s="125"/>
      <c r="X177" s="125"/>
      <c r="Y177" s="125"/>
      <c r="Z177" s="286"/>
      <c r="AA177" s="125"/>
      <c r="AB177" s="125"/>
      <c r="AC177" s="125"/>
      <c r="AD177" s="125"/>
      <c r="AE177" s="125"/>
      <c r="AF177" s="125"/>
      <c r="AG177" s="125"/>
      <c r="AM177" s="125"/>
      <c r="AN177" s="332"/>
      <c r="AO177" s="462"/>
      <c r="AP177" s="462"/>
      <c r="AQ177" s="462"/>
      <c r="AR177" s="462"/>
      <c r="AS177" s="462"/>
      <c r="AT177" s="462"/>
      <c r="AU177" s="462"/>
      <c r="AV177" s="462"/>
      <c r="AW177" s="462"/>
      <c r="AX177" s="462"/>
      <c r="AY177" s="462"/>
    </row>
    <row r="178" spans="1:51" s="456" customFormat="1" ht="18.75">
      <c r="A178" s="461"/>
      <c r="B178" s="72"/>
      <c r="C178" s="12"/>
      <c r="D178" s="12"/>
      <c r="E178" s="12"/>
      <c r="F178" s="12"/>
      <c r="G178" s="12"/>
      <c r="H178" s="136"/>
      <c r="I178" s="136"/>
      <c r="J178" s="136"/>
      <c r="O178" s="32">
        <v>2023</v>
      </c>
      <c r="P178" s="32">
        <v>2022</v>
      </c>
      <c r="Q178" s="110">
        <v>2021</v>
      </c>
      <c r="R178" s="110">
        <v>2020</v>
      </c>
      <c r="T178" s="462"/>
      <c r="U178" s="462"/>
      <c r="V178" s="462"/>
      <c r="W178" s="462"/>
      <c r="X178" s="462"/>
      <c r="Y178" s="462"/>
      <c r="Z178" s="286"/>
      <c r="AA178" s="462"/>
      <c r="AB178" s="462"/>
      <c r="AC178" s="462"/>
      <c r="AD178" s="462"/>
      <c r="AE178" s="462"/>
      <c r="AF178" s="462"/>
      <c r="AG178" s="462"/>
      <c r="AM178" s="462"/>
      <c r="AN178" s="332"/>
      <c r="AO178" s="462"/>
      <c r="AP178" s="462"/>
      <c r="AQ178" s="462"/>
      <c r="AR178" s="462"/>
      <c r="AS178" s="462"/>
      <c r="AT178" s="462"/>
      <c r="AU178" s="462"/>
      <c r="AV178" s="462"/>
      <c r="AW178" s="462"/>
      <c r="AX178" s="462"/>
      <c r="AY178" s="462"/>
    </row>
    <row r="179" spans="1:51" s="456" customFormat="1" ht="18.75">
      <c r="A179" s="461"/>
      <c r="B179" s="72"/>
      <c r="C179" s="12"/>
      <c r="D179" s="12"/>
      <c r="E179" s="12"/>
      <c r="F179" s="12"/>
      <c r="G179" s="12"/>
      <c r="H179" s="136"/>
      <c r="I179" s="136"/>
      <c r="J179" s="136"/>
      <c r="P179" s="110"/>
      <c r="Q179" s="110"/>
      <c r="R179" s="110"/>
      <c r="T179" s="462"/>
      <c r="U179" s="462"/>
      <c r="V179" s="462"/>
      <c r="W179" s="462"/>
      <c r="X179" s="462"/>
      <c r="Y179" s="462"/>
      <c r="Z179" s="286"/>
      <c r="AA179" s="462"/>
      <c r="AB179" s="462"/>
      <c r="AC179" s="462"/>
      <c r="AD179" s="462"/>
      <c r="AE179" s="462"/>
      <c r="AF179" s="462"/>
      <c r="AG179" s="462"/>
      <c r="AM179" s="462"/>
      <c r="AN179" s="332"/>
      <c r="AO179" s="462"/>
      <c r="AP179" s="462"/>
      <c r="AQ179" s="462"/>
      <c r="AR179" s="462"/>
      <c r="AS179" s="462"/>
      <c r="AT179" s="462"/>
      <c r="AU179" s="462"/>
      <c r="AV179" s="462"/>
      <c r="AW179" s="462"/>
      <c r="AX179" s="462"/>
      <c r="AY179" s="462"/>
    </row>
    <row r="180" spans="1:51" s="456" customFormat="1" ht="15.75">
      <c r="A180" s="461"/>
      <c r="B180" s="60" t="s">
        <v>785</v>
      </c>
      <c r="C180" s="12"/>
      <c r="D180" s="12"/>
      <c r="E180" s="12"/>
      <c r="F180" s="12"/>
      <c r="G180" s="12"/>
      <c r="H180" s="136"/>
      <c r="I180" s="136"/>
      <c r="J180" s="136"/>
      <c r="O180" s="669">
        <v>12579325.97</v>
      </c>
      <c r="P180" s="669">
        <v>12579325.97</v>
      </c>
      <c r="Q180" s="85">
        <v>12579325.97</v>
      </c>
      <c r="T180" s="462"/>
      <c r="U180" s="462"/>
      <c r="V180" s="462"/>
      <c r="W180" s="462"/>
      <c r="X180" s="462"/>
      <c r="Y180" s="462"/>
      <c r="Z180" s="286"/>
      <c r="AA180" s="462"/>
      <c r="AB180" s="462"/>
      <c r="AC180" s="462"/>
      <c r="AD180" s="462"/>
      <c r="AE180" s="462"/>
      <c r="AF180" s="462"/>
      <c r="AG180" s="462"/>
      <c r="AM180" s="462"/>
      <c r="AN180" s="332"/>
      <c r="AO180" s="462"/>
      <c r="AP180" s="462"/>
      <c r="AQ180" s="462"/>
      <c r="AR180" s="462"/>
      <c r="AS180" s="462"/>
      <c r="AT180" s="462"/>
      <c r="AU180" s="462"/>
      <c r="AV180" s="462"/>
      <c r="AW180" s="462"/>
      <c r="AX180" s="462"/>
      <c r="AY180" s="462"/>
    </row>
    <row r="181" spans="1:51" s="456" customFormat="1" ht="21" thickBot="1">
      <c r="A181" s="461"/>
      <c r="B181" s="182" t="s">
        <v>932</v>
      </c>
      <c r="C181" s="12"/>
      <c r="D181" s="12"/>
      <c r="E181" s="12"/>
      <c r="F181" s="12"/>
      <c r="G181" s="12"/>
      <c r="H181" s="136"/>
      <c r="I181" s="136"/>
      <c r="J181" s="136"/>
      <c r="O181" s="660">
        <f>SUM(O180)</f>
        <v>12579325.97</v>
      </c>
      <c r="P181" s="660">
        <f>SUM(P180)</f>
        <v>12579325.97</v>
      </c>
      <c r="Q181" s="200">
        <f>SUM(Q180)</f>
        <v>12579325.97</v>
      </c>
      <c r="T181" s="462"/>
      <c r="U181" s="462"/>
      <c r="V181" s="462"/>
      <c r="W181" s="462"/>
      <c r="X181" s="462"/>
      <c r="Y181" s="462"/>
      <c r="Z181" s="286"/>
      <c r="AA181" s="462"/>
      <c r="AB181" s="462"/>
      <c r="AC181" s="462"/>
      <c r="AD181" s="462"/>
      <c r="AE181" s="462"/>
      <c r="AF181" s="462"/>
      <c r="AG181" s="462"/>
      <c r="AM181" s="462"/>
      <c r="AN181" s="332"/>
      <c r="AO181" s="462"/>
      <c r="AP181" s="462"/>
      <c r="AQ181" s="462"/>
      <c r="AR181" s="462"/>
      <c r="AS181" s="462"/>
      <c r="AT181" s="462"/>
      <c r="AU181" s="462"/>
      <c r="AV181" s="462"/>
      <c r="AW181" s="462"/>
      <c r="AX181" s="462"/>
      <c r="AY181" s="462"/>
    </row>
    <row r="182" spans="1:51" s="456" customFormat="1" ht="17.25" thickTop="1">
      <c r="A182" s="461"/>
      <c r="B182" s="72"/>
      <c r="C182" s="12"/>
      <c r="D182" s="12"/>
      <c r="E182" s="12"/>
      <c r="F182" s="12"/>
      <c r="G182" s="12"/>
      <c r="H182" s="136"/>
      <c r="I182" s="136"/>
      <c r="J182" s="136"/>
      <c r="O182" s="664"/>
      <c r="P182" s="664"/>
      <c r="T182" s="462"/>
      <c r="U182" s="462"/>
      <c r="V182" s="462"/>
      <c r="W182" s="462"/>
      <c r="X182" s="462"/>
      <c r="Y182" s="462"/>
      <c r="Z182" s="286"/>
      <c r="AA182" s="462"/>
      <c r="AB182" s="462"/>
      <c r="AC182" s="462"/>
      <c r="AD182" s="462"/>
      <c r="AE182" s="462"/>
      <c r="AF182" s="462"/>
      <c r="AG182" s="462"/>
      <c r="AM182" s="462"/>
      <c r="AN182" s="332"/>
      <c r="AO182" s="462"/>
      <c r="AP182" s="462"/>
      <c r="AQ182" s="462"/>
      <c r="AR182" s="462"/>
      <c r="AS182" s="462"/>
      <c r="AT182" s="462"/>
      <c r="AU182" s="462"/>
      <c r="AV182" s="462"/>
      <c r="AW182" s="462"/>
      <c r="AX182" s="462"/>
      <c r="AY182" s="462"/>
    </row>
    <row r="183" spans="1:51" s="456" customFormat="1" ht="16.5">
      <c r="A183" s="461"/>
      <c r="B183" s="72"/>
      <c r="C183" s="12"/>
      <c r="D183" s="12"/>
      <c r="E183" s="12"/>
      <c r="F183" s="12"/>
      <c r="G183" s="12"/>
      <c r="H183" s="136"/>
      <c r="I183" s="136"/>
      <c r="J183" s="136"/>
      <c r="T183" s="462"/>
      <c r="U183" s="462"/>
      <c r="V183" s="462"/>
      <c r="W183" s="462"/>
      <c r="X183" s="462"/>
      <c r="Y183" s="462"/>
      <c r="Z183" s="286"/>
      <c r="AA183" s="462"/>
      <c r="AB183" s="462"/>
      <c r="AC183" s="462"/>
      <c r="AD183" s="462"/>
      <c r="AE183" s="462"/>
      <c r="AF183" s="462"/>
      <c r="AG183" s="462"/>
      <c r="AM183" s="462"/>
      <c r="AN183" s="332"/>
      <c r="AO183" s="462"/>
      <c r="AP183" s="462"/>
      <c r="AQ183" s="462"/>
      <c r="AR183" s="462"/>
      <c r="AS183" s="462"/>
      <c r="AT183" s="462"/>
      <c r="AU183" s="462"/>
      <c r="AV183" s="462"/>
      <c r="AW183" s="462"/>
      <c r="AX183" s="462"/>
      <c r="AY183" s="462"/>
    </row>
    <row r="184" spans="1:26" ht="18.75">
      <c r="A184" s="88"/>
      <c r="B184" s="109" t="s">
        <v>582</v>
      </c>
      <c r="C184" s="131"/>
      <c r="D184" s="131"/>
      <c r="E184" s="131"/>
      <c r="F184" s="131"/>
      <c r="G184" s="131"/>
      <c r="H184" s="137"/>
      <c r="I184" s="137"/>
      <c r="J184" s="137"/>
      <c r="K184" s="133"/>
      <c r="L184" s="133"/>
      <c r="M184" s="133"/>
      <c r="N184" s="133"/>
      <c r="O184" s="133"/>
      <c r="P184" s="3"/>
      <c r="Q184" s="522" t="s">
        <v>642</v>
      </c>
      <c r="R184" s="522"/>
      <c r="T184" s="294"/>
      <c r="U184" s="294"/>
      <c r="V184" s="277">
        <v>2018</v>
      </c>
      <c r="W184" s="295">
        <v>2017</v>
      </c>
      <c r="X184" s="300"/>
      <c r="Y184" s="300"/>
      <c r="Z184" s="295">
        <v>2016</v>
      </c>
    </row>
    <row r="185" spans="1:26" ht="20.25">
      <c r="A185" s="397"/>
      <c r="B185" s="182" t="s">
        <v>498</v>
      </c>
      <c r="C185" s="131"/>
      <c r="D185" s="131"/>
      <c r="E185" s="131"/>
      <c r="F185" s="131"/>
      <c r="G185" s="131"/>
      <c r="H185" s="131"/>
      <c r="I185" s="131"/>
      <c r="J185" s="131"/>
      <c r="K185" s="133"/>
      <c r="L185" s="133"/>
      <c r="M185" s="133"/>
      <c r="N185" s="133"/>
      <c r="O185" s="32">
        <v>2023</v>
      </c>
      <c r="P185" s="32">
        <v>2022</v>
      </c>
      <c r="Q185" s="110">
        <v>2021</v>
      </c>
      <c r="R185" s="110">
        <v>2020</v>
      </c>
      <c r="S185" s="110">
        <v>2019</v>
      </c>
      <c r="T185" s="294"/>
      <c r="U185" s="294"/>
      <c r="V185" s="294"/>
      <c r="W185" s="294"/>
      <c r="X185" s="294"/>
      <c r="Y185" s="294"/>
      <c r="Z185" s="296"/>
    </row>
    <row r="186" spans="1:26" ht="15">
      <c r="A186" s="53"/>
      <c r="B186" s="12" t="s">
        <v>112</v>
      </c>
      <c r="C186" s="12"/>
      <c r="D186" s="12"/>
      <c r="E186" s="12"/>
      <c r="F186" s="12"/>
      <c r="G186" s="12"/>
      <c r="H186" s="12"/>
      <c r="I186" s="12"/>
      <c r="J186" s="12"/>
      <c r="Z186" s="286"/>
    </row>
    <row r="187" spans="2:26" ht="15.75">
      <c r="B187" s="60" t="s">
        <v>499</v>
      </c>
      <c r="C187" s="60"/>
      <c r="D187" s="60"/>
      <c r="E187" s="60"/>
      <c r="F187" s="60"/>
      <c r="G187" s="60"/>
      <c r="H187" s="61"/>
      <c r="I187" s="61"/>
      <c r="J187" s="61"/>
      <c r="K187" s="112"/>
      <c r="L187" s="112"/>
      <c r="M187" s="112"/>
      <c r="N187" s="112"/>
      <c r="O187" s="658">
        <v>14669381.66</v>
      </c>
      <c r="P187" s="658">
        <v>14669381.66</v>
      </c>
      <c r="Q187" s="199">
        <v>14669381.66</v>
      </c>
      <c r="R187" s="75">
        <v>14828962.13</v>
      </c>
      <c r="S187" s="75">
        <v>14828962.13</v>
      </c>
      <c r="T187" s="115"/>
      <c r="U187" s="115"/>
      <c r="V187" s="114">
        <v>14669381.66</v>
      </c>
      <c r="W187" s="114">
        <v>14669381.66</v>
      </c>
      <c r="X187" s="115"/>
      <c r="Y187" s="115"/>
      <c r="Z187" s="114">
        <v>14669381.66</v>
      </c>
    </row>
    <row r="188" spans="2:26" ht="16.5">
      <c r="B188" s="72" t="s">
        <v>26</v>
      </c>
      <c r="C188" s="60"/>
      <c r="D188" s="60"/>
      <c r="E188" s="60"/>
      <c r="F188" s="60"/>
      <c r="G188" s="60"/>
      <c r="H188" s="61"/>
      <c r="I188" s="61"/>
      <c r="J188" s="61"/>
      <c r="K188" s="112"/>
      <c r="L188" s="112"/>
      <c r="M188" s="112"/>
      <c r="N188" s="112"/>
      <c r="O188" s="649"/>
      <c r="P188" s="649"/>
      <c r="Q188" s="128"/>
      <c r="R188" s="75"/>
      <c r="S188" s="75"/>
      <c r="T188" s="115"/>
      <c r="U188" s="115"/>
      <c r="V188" s="114"/>
      <c r="W188" s="114"/>
      <c r="X188" s="115"/>
      <c r="Y188" s="115"/>
      <c r="Z188" s="114"/>
    </row>
    <row r="189" spans="2:26" ht="15.75">
      <c r="B189" s="60" t="s">
        <v>122</v>
      </c>
      <c r="C189" s="60"/>
      <c r="D189" s="60"/>
      <c r="E189" s="60"/>
      <c r="F189" s="60"/>
      <c r="G189" s="60"/>
      <c r="H189" s="62"/>
      <c r="I189" s="62"/>
      <c r="J189" s="62"/>
      <c r="K189" s="112"/>
      <c r="L189" s="112"/>
      <c r="M189" s="112"/>
      <c r="N189" s="112"/>
      <c r="O189" s="658">
        <v>-3227304.65</v>
      </c>
      <c r="P189" s="658">
        <v>-2933916.89</v>
      </c>
      <c r="Q189" s="220">
        <v>-2640529.13</v>
      </c>
      <c r="R189" s="220">
        <v>-2347101.37</v>
      </c>
      <c r="S189" s="199">
        <v>-2053713.61</v>
      </c>
      <c r="T189" s="115"/>
      <c r="U189" s="115"/>
      <c r="V189" s="114">
        <v>-1760325.85</v>
      </c>
      <c r="W189" s="114">
        <v>-1466938.2</v>
      </c>
      <c r="X189" s="115"/>
      <c r="Y189" s="115"/>
      <c r="Z189" s="114">
        <v>-1173550.56</v>
      </c>
    </row>
    <row r="190" spans="2:26" ht="21" thickBot="1">
      <c r="B190" s="182" t="s">
        <v>648</v>
      </c>
      <c r="C190" s="60"/>
      <c r="D190" s="60"/>
      <c r="E190" s="60"/>
      <c r="F190" s="60"/>
      <c r="G190" s="60"/>
      <c r="H190" s="66">
        <f>+H187-H189</f>
        <v>0</v>
      </c>
      <c r="I190" s="73"/>
      <c r="J190" s="73"/>
      <c r="K190" s="112"/>
      <c r="L190" s="112"/>
      <c r="M190" s="112"/>
      <c r="N190" s="112"/>
      <c r="O190" s="660">
        <f>SUM(O187:O189)</f>
        <v>11442077.01</v>
      </c>
      <c r="P190" s="660">
        <f>SUM(P187:P189)</f>
        <v>11735464.77</v>
      </c>
      <c r="Q190" s="200">
        <f>+Q187+Q189</f>
        <v>12028852.530000001</v>
      </c>
      <c r="R190" s="200">
        <f>SUM(R186:R189)</f>
        <v>12481860.760000002</v>
      </c>
      <c r="S190" s="200">
        <f>SUM(S186:S189)</f>
        <v>12775248.520000001</v>
      </c>
      <c r="T190" s="115"/>
      <c r="U190" s="115"/>
      <c r="V190" s="301">
        <f>+V187+V189</f>
        <v>12909055.81</v>
      </c>
      <c r="W190" s="301">
        <f>SUM(W187:W189)</f>
        <v>13202443.46</v>
      </c>
      <c r="X190" s="115"/>
      <c r="Y190" s="115"/>
      <c r="Z190" s="301">
        <f>SUM(Z187:Z189)</f>
        <v>13495831.1</v>
      </c>
    </row>
    <row r="191" spans="2:26" ht="15.75" thickTop="1">
      <c r="B191" s="12"/>
      <c r="C191" s="12"/>
      <c r="D191" s="12"/>
      <c r="E191" s="12"/>
      <c r="F191" s="12"/>
      <c r="G191" s="12"/>
      <c r="H191" s="6"/>
      <c r="I191" s="6"/>
      <c r="J191" s="6"/>
      <c r="Z191" s="286"/>
    </row>
    <row r="192" spans="2:26" ht="24.75" hidden="1">
      <c r="B192" s="12"/>
      <c r="C192" s="107" t="s">
        <v>82</v>
      </c>
      <c r="D192" s="107" t="s">
        <v>83</v>
      </c>
      <c r="E192" s="107"/>
      <c r="F192" s="107"/>
      <c r="G192" s="107"/>
      <c r="H192" s="107"/>
      <c r="I192" s="107"/>
      <c r="J192" s="107"/>
      <c r="K192" s="108"/>
      <c r="Z192" s="286"/>
    </row>
    <row r="193" spans="2:26" ht="24.75" hidden="1">
      <c r="B193" s="12"/>
      <c r="C193" s="107" t="s">
        <v>239</v>
      </c>
      <c r="D193" s="107"/>
      <c r="E193" s="107"/>
      <c r="F193" s="107"/>
      <c r="G193" s="107"/>
      <c r="H193" s="107"/>
      <c r="I193" s="107"/>
      <c r="J193" s="107"/>
      <c r="K193" s="108"/>
      <c r="Z193" s="286"/>
    </row>
    <row r="194" spans="2:26" ht="24.75" hidden="1">
      <c r="B194" s="12"/>
      <c r="C194" s="12"/>
      <c r="D194" s="12"/>
      <c r="E194" s="107" t="s">
        <v>84</v>
      </c>
      <c r="F194" s="12"/>
      <c r="G194" s="12"/>
      <c r="H194" s="12"/>
      <c r="I194" s="12"/>
      <c r="J194" s="12"/>
      <c r="Z194" s="286"/>
    </row>
    <row r="195" spans="2:26" ht="0.75" customHeight="1">
      <c r="B195" s="12"/>
      <c r="C195" s="12"/>
      <c r="D195" s="12"/>
      <c r="E195" s="12"/>
      <c r="F195" s="12"/>
      <c r="G195" s="12"/>
      <c r="H195" s="12"/>
      <c r="I195" s="12"/>
      <c r="J195" s="12"/>
      <c r="Z195" s="286"/>
    </row>
    <row r="196" spans="2:26" ht="18.75">
      <c r="B196" s="109" t="s">
        <v>582</v>
      </c>
      <c r="C196" s="131"/>
      <c r="D196" s="131"/>
      <c r="E196" s="131"/>
      <c r="F196" s="12"/>
      <c r="G196" s="12"/>
      <c r="H196" s="12"/>
      <c r="I196" s="12"/>
      <c r="J196" s="12"/>
      <c r="Z196" s="286"/>
    </row>
    <row r="197" spans="2:26" ht="20.25">
      <c r="B197" s="182" t="s">
        <v>117</v>
      </c>
      <c r="C197" s="131"/>
      <c r="D197" s="131"/>
      <c r="E197" s="131"/>
      <c r="F197" s="12"/>
      <c r="G197" s="12"/>
      <c r="H197" s="12"/>
      <c r="I197" s="12"/>
      <c r="J197" s="12"/>
      <c r="Q197" s="220"/>
      <c r="Z197" s="286"/>
    </row>
    <row r="198" spans="2:26" ht="15.75">
      <c r="B198" s="60" t="s">
        <v>649</v>
      </c>
      <c r="C198" s="12"/>
      <c r="D198" s="12"/>
      <c r="E198" s="12"/>
      <c r="F198" s="12"/>
      <c r="G198" s="12"/>
      <c r="H198" s="12"/>
      <c r="I198" s="12"/>
      <c r="J198" s="12"/>
      <c r="P198" s="3"/>
      <c r="Q198" s="217" t="s">
        <v>642</v>
      </c>
      <c r="R198" s="217"/>
      <c r="S198" s="217"/>
      <c r="T198" s="114"/>
      <c r="Z198" s="286"/>
    </row>
    <row r="199" spans="2:26" ht="18.75">
      <c r="B199" s="60" t="s">
        <v>992</v>
      </c>
      <c r="C199" s="12"/>
      <c r="D199" s="12"/>
      <c r="E199" s="12"/>
      <c r="F199" s="12"/>
      <c r="G199" s="12"/>
      <c r="H199" s="12"/>
      <c r="I199" s="12"/>
      <c r="J199" s="12"/>
      <c r="O199" s="32">
        <v>2023</v>
      </c>
      <c r="P199" s="32">
        <v>2022</v>
      </c>
      <c r="Q199" s="110">
        <v>2021</v>
      </c>
      <c r="R199" s="110">
        <v>2020</v>
      </c>
      <c r="S199" s="110">
        <v>2019</v>
      </c>
      <c r="Z199" s="286"/>
    </row>
    <row r="200" spans="2:26" ht="15.75">
      <c r="B200" s="60" t="s">
        <v>650</v>
      </c>
      <c r="C200" s="12"/>
      <c r="D200" s="12"/>
      <c r="E200" s="12"/>
      <c r="F200" s="12"/>
      <c r="G200" s="12"/>
      <c r="H200" s="12"/>
      <c r="I200" s="12"/>
      <c r="J200" s="12"/>
      <c r="Z200" s="286"/>
    </row>
    <row r="201" spans="2:51" s="133" customFormat="1" ht="18.75">
      <c r="B201" s="109" t="s">
        <v>23</v>
      </c>
      <c r="C201" s="131"/>
      <c r="D201" s="131"/>
      <c r="E201" s="131"/>
      <c r="F201" s="131"/>
      <c r="G201" s="131"/>
      <c r="H201" s="131"/>
      <c r="I201" s="131"/>
      <c r="J201" s="131"/>
      <c r="T201" s="294"/>
      <c r="U201" s="294"/>
      <c r="V201" s="294"/>
      <c r="W201" s="294"/>
      <c r="X201" s="294"/>
      <c r="Y201" s="294"/>
      <c r="Z201" s="296"/>
      <c r="AA201" s="294"/>
      <c r="AB201" s="294"/>
      <c r="AC201" s="294"/>
      <c r="AD201" s="294"/>
      <c r="AE201" s="294"/>
      <c r="AF201" s="294"/>
      <c r="AG201" s="294"/>
      <c r="AM201" s="294"/>
      <c r="AN201" s="474"/>
      <c r="AO201" s="294"/>
      <c r="AP201" s="294"/>
      <c r="AQ201" s="294"/>
      <c r="AR201" s="294"/>
      <c r="AS201" s="294"/>
      <c r="AT201" s="294"/>
      <c r="AU201" s="294"/>
      <c r="AV201" s="294"/>
      <c r="AW201" s="294"/>
      <c r="AX201" s="294"/>
      <c r="AY201" s="294"/>
    </row>
    <row r="202" spans="2:27" ht="15.75">
      <c r="B202" s="60" t="s">
        <v>29</v>
      </c>
      <c r="C202" s="60"/>
      <c r="D202" s="60"/>
      <c r="E202" s="60"/>
      <c r="F202" s="60"/>
      <c r="G202" s="60"/>
      <c r="H202" s="61">
        <v>21396540.13</v>
      </c>
      <c r="I202" s="61"/>
      <c r="J202" s="61"/>
      <c r="K202" s="112"/>
      <c r="L202" s="112"/>
      <c r="M202" s="112"/>
      <c r="N202" s="112"/>
      <c r="O202" s="670">
        <f>27313981.93+139126.24+25042.72</f>
        <v>27478150.889999997</v>
      </c>
      <c r="P202" s="670">
        <v>26553815.69</v>
      </c>
      <c r="Q202" s="67">
        <v>25497831.53</v>
      </c>
      <c r="R202" s="67">
        <v>24876294.05</v>
      </c>
      <c r="S202" s="67">
        <v>23256212.94</v>
      </c>
      <c r="T202" s="115"/>
      <c r="U202" s="115"/>
      <c r="V202" s="114">
        <v>22749163.5</v>
      </c>
      <c r="W202" s="114">
        <v>22652687.94</v>
      </c>
      <c r="X202" s="115"/>
      <c r="Y202" s="115"/>
      <c r="Z202" s="114">
        <v>21834094.74</v>
      </c>
      <c r="AA202" s="115"/>
    </row>
    <row r="203" spans="1:27" ht="15.75">
      <c r="A203" s="456"/>
      <c r="B203" s="60" t="s">
        <v>849</v>
      </c>
      <c r="C203" s="60"/>
      <c r="D203" s="60"/>
      <c r="E203" s="60"/>
      <c r="F203" s="60"/>
      <c r="G203" s="60"/>
      <c r="H203" s="61">
        <v>35703.1</v>
      </c>
      <c r="I203" s="61"/>
      <c r="J203" s="61"/>
      <c r="K203" s="112"/>
      <c r="L203" s="112"/>
      <c r="M203" s="112"/>
      <c r="N203" s="112"/>
      <c r="O203" s="670"/>
      <c r="P203" s="670">
        <v>30744.19</v>
      </c>
      <c r="Q203" s="128"/>
      <c r="R203" s="112"/>
      <c r="S203" s="67">
        <v>35703.1</v>
      </c>
      <c r="T203" s="115"/>
      <c r="U203" s="115"/>
      <c r="V203" s="114">
        <v>35703.1</v>
      </c>
      <c r="W203" s="114">
        <v>35703.1</v>
      </c>
      <c r="X203" s="115"/>
      <c r="Y203" s="115"/>
      <c r="Z203" s="114">
        <v>35703.1</v>
      </c>
      <c r="AA203" s="115"/>
    </row>
    <row r="204" spans="2:27" ht="15.75">
      <c r="B204" s="60" t="s">
        <v>31</v>
      </c>
      <c r="C204" s="60"/>
      <c r="D204" s="60"/>
      <c r="E204" s="60"/>
      <c r="F204" s="60"/>
      <c r="G204" s="60"/>
      <c r="H204" s="61">
        <v>719340.07</v>
      </c>
      <c r="I204" s="61"/>
      <c r="J204" s="61"/>
      <c r="K204" s="112"/>
      <c r="L204" s="112"/>
      <c r="M204" s="112"/>
      <c r="N204" s="112"/>
      <c r="O204" s="670">
        <v>884540.07</v>
      </c>
      <c r="P204" s="670">
        <v>884540.07</v>
      </c>
      <c r="Q204" s="67">
        <v>884540.07</v>
      </c>
      <c r="R204" s="67">
        <v>884540.07</v>
      </c>
      <c r="S204" s="67">
        <v>884540.07</v>
      </c>
      <c r="T204" s="115"/>
      <c r="U204" s="115"/>
      <c r="V204" s="114">
        <v>884540.07</v>
      </c>
      <c r="W204" s="114">
        <v>884540.07</v>
      </c>
      <c r="X204" s="115"/>
      <c r="Y204" s="115"/>
      <c r="Z204" s="114">
        <v>884540.07</v>
      </c>
      <c r="AA204" s="115"/>
    </row>
    <row r="205" spans="2:27" ht="15.75">
      <c r="B205" s="60" t="s">
        <v>32</v>
      </c>
      <c r="C205" s="60"/>
      <c r="D205" s="60"/>
      <c r="E205" s="60"/>
      <c r="F205" s="60"/>
      <c r="G205" s="60"/>
      <c r="H205" s="61">
        <v>2525605.58</v>
      </c>
      <c r="I205" s="61"/>
      <c r="J205" s="61"/>
      <c r="K205" s="112"/>
      <c r="L205" s="112"/>
      <c r="M205" s="112"/>
      <c r="N205" s="112"/>
      <c r="O205" s="670">
        <v>6153548.73</v>
      </c>
      <c r="P205" s="670">
        <v>5183078.73</v>
      </c>
      <c r="Q205" s="67">
        <v>3572078.7</v>
      </c>
      <c r="R205" s="67">
        <v>3283012.63</v>
      </c>
      <c r="S205" s="67">
        <v>3824115.43</v>
      </c>
      <c r="T205" s="115"/>
      <c r="U205" s="115"/>
      <c r="V205" s="114">
        <v>3112760.62</v>
      </c>
      <c r="W205" s="114">
        <v>3054050.65</v>
      </c>
      <c r="X205" s="115"/>
      <c r="Y205" s="115"/>
      <c r="Z205" s="114">
        <v>2674003.47</v>
      </c>
      <c r="AA205" s="115"/>
    </row>
    <row r="206" spans="2:27" ht="15.75">
      <c r="B206" s="60" t="s">
        <v>4</v>
      </c>
      <c r="C206" s="60"/>
      <c r="D206" s="60"/>
      <c r="E206" s="60"/>
      <c r="F206" s="60"/>
      <c r="G206" s="60"/>
      <c r="H206" s="61">
        <v>72976.65</v>
      </c>
      <c r="I206" s="61"/>
      <c r="J206" s="61"/>
      <c r="K206" s="112"/>
      <c r="L206" s="112"/>
      <c r="M206" s="112"/>
      <c r="N206" s="112"/>
      <c r="O206" s="670">
        <v>21122</v>
      </c>
      <c r="P206" s="670">
        <v>4838</v>
      </c>
      <c r="Q206" s="67">
        <v>4838</v>
      </c>
      <c r="R206" s="67">
        <v>4838</v>
      </c>
      <c r="S206" s="67">
        <v>105426.65</v>
      </c>
      <c r="T206" s="115"/>
      <c r="U206" s="115"/>
      <c r="V206" s="114">
        <v>105426.65</v>
      </c>
      <c r="W206" s="114">
        <v>105426.65</v>
      </c>
      <c r="X206" s="115"/>
      <c r="Y206" s="115"/>
      <c r="Z206" s="114">
        <v>105426.65</v>
      </c>
      <c r="AA206" s="115"/>
    </row>
    <row r="207" spans="2:27" ht="15.75">
      <c r="B207" s="60" t="s">
        <v>437</v>
      </c>
      <c r="C207" s="60"/>
      <c r="D207" s="60"/>
      <c r="E207" s="60"/>
      <c r="F207" s="60"/>
      <c r="G207" s="60"/>
      <c r="H207" s="61">
        <v>136989.53</v>
      </c>
      <c r="I207" s="61"/>
      <c r="J207" s="61"/>
      <c r="K207" s="112"/>
      <c r="L207" s="112"/>
      <c r="M207" s="112"/>
      <c r="N207" s="112"/>
      <c r="O207" s="670">
        <v>120934.75</v>
      </c>
      <c r="P207" s="670">
        <v>85052.75</v>
      </c>
      <c r="Q207" s="67">
        <v>85052.75</v>
      </c>
      <c r="R207" s="67">
        <v>26140.78</v>
      </c>
      <c r="S207" s="67">
        <v>196241.12</v>
      </c>
      <c r="T207" s="115"/>
      <c r="U207" s="115"/>
      <c r="V207" s="114">
        <v>168400.98</v>
      </c>
      <c r="W207" s="114">
        <v>155170.95</v>
      </c>
      <c r="X207" s="115"/>
      <c r="Y207" s="115"/>
      <c r="Z207" s="114">
        <v>145389.53</v>
      </c>
      <c r="AA207" s="115"/>
    </row>
    <row r="208" spans="2:27" ht="15.75">
      <c r="B208" s="60" t="s">
        <v>120</v>
      </c>
      <c r="C208" s="60"/>
      <c r="D208" s="60"/>
      <c r="E208" s="60"/>
      <c r="F208" s="60"/>
      <c r="G208" s="60"/>
      <c r="H208" s="61">
        <v>835607.94</v>
      </c>
      <c r="I208" s="61"/>
      <c r="J208" s="61"/>
      <c r="K208" s="112"/>
      <c r="L208" s="112"/>
      <c r="M208" s="112"/>
      <c r="N208" s="112"/>
      <c r="O208" s="670">
        <v>427273.93</v>
      </c>
      <c r="P208" s="670">
        <v>245132.14</v>
      </c>
      <c r="Q208" s="67">
        <v>211648.46</v>
      </c>
      <c r="R208" s="67">
        <v>148446.1</v>
      </c>
      <c r="S208" s="67">
        <v>939447.38</v>
      </c>
      <c r="T208" s="115"/>
      <c r="U208" s="115"/>
      <c r="V208" s="114">
        <v>868852.38</v>
      </c>
      <c r="W208" s="114">
        <v>868852.38</v>
      </c>
      <c r="X208" s="115"/>
      <c r="Y208" s="115"/>
      <c r="Z208" s="114">
        <v>835607.94</v>
      </c>
      <c r="AA208" s="115"/>
    </row>
    <row r="209" spans="2:51" s="456" customFormat="1" ht="15.75">
      <c r="B209" s="60" t="s">
        <v>944</v>
      </c>
      <c r="C209" s="60"/>
      <c r="D209" s="60"/>
      <c r="E209" s="60"/>
      <c r="F209" s="60"/>
      <c r="G209" s="60"/>
      <c r="H209" s="61"/>
      <c r="I209" s="61"/>
      <c r="J209" s="61"/>
      <c r="K209" s="461"/>
      <c r="L209" s="461"/>
      <c r="M209" s="461"/>
      <c r="N209" s="461"/>
      <c r="O209" s="670">
        <v>47082</v>
      </c>
      <c r="P209" s="670"/>
      <c r="Q209" s="67"/>
      <c r="R209" s="67"/>
      <c r="S209" s="67"/>
      <c r="T209" s="115"/>
      <c r="U209" s="115"/>
      <c r="V209" s="114"/>
      <c r="W209" s="114"/>
      <c r="X209" s="115"/>
      <c r="Y209" s="115"/>
      <c r="Z209" s="114"/>
      <c r="AA209" s="115"/>
      <c r="AB209" s="462"/>
      <c r="AC209" s="462"/>
      <c r="AD209" s="462"/>
      <c r="AE209" s="462"/>
      <c r="AF209" s="462"/>
      <c r="AG209" s="462"/>
      <c r="AM209" s="462"/>
      <c r="AN209" s="332"/>
      <c r="AO209" s="462"/>
      <c r="AP209" s="462"/>
      <c r="AQ209" s="462"/>
      <c r="AR209" s="462"/>
      <c r="AS209" s="462"/>
      <c r="AT209" s="462"/>
      <c r="AU209" s="462"/>
      <c r="AV209" s="462"/>
      <c r="AW209" s="462"/>
      <c r="AX209" s="462"/>
      <c r="AY209" s="462"/>
    </row>
    <row r="210" spans="2:51" s="456" customFormat="1" ht="15.75">
      <c r="B210" s="9" t="s">
        <v>993</v>
      </c>
      <c r="C210" s="5"/>
      <c r="D210" s="5"/>
      <c r="E210" s="5"/>
      <c r="F210" s="5"/>
      <c r="G210" s="526">
        <v>80642.97</v>
      </c>
      <c r="H210" s="61"/>
      <c r="I210" s="61"/>
      <c r="J210" s="61"/>
      <c r="K210" s="461"/>
      <c r="L210" s="461"/>
      <c r="M210" s="461"/>
      <c r="N210" s="461"/>
      <c r="O210" s="670">
        <v>80642.97</v>
      </c>
      <c r="P210" s="670"/>
      <c r="Q210" s="67"/>
      <c r="R210" s="67"/>
      <c r="S210" s="67"/>
      <c r="T210" s="115"/>
      <c r="U210" s="115"/>
      <c r="V210" s="114"/>
      <c r="W210" s="114"/>
      <c r="X210" s="115"/>
      <c r="Y210" s="115"/>
      <c r="Z210" s="114"/>
      <c r="AA210" s="115"/>
      <c r="AB210" s="462"/>
      <c r="AC210" s="462"/>
      <c r="AD210" s="462"/>
      <c r="AE210" s="462"/>
      <c r="AF210" s="462"/>
      <c r="AG210" s="462"/>
      <c r="AM210" s="462"/>
      <c r="AN210" s="332"/>
      <c r="AO210" s="462"/>
      <c r="AP210" s="462"/>
      <c r="AQ210" s="462"/>
      <c r="AR210" s="462"/>
      <c r="AS210" s="462"/>
      <c r="AT210" s="462"/>
      <c r="AU210" s="462"/>
      <c r="AV210" s="462"/>
      <c r="AW210" s="462"/>
      <c r="AX210" s="462"/>
      <c r="AY210" s="462"/>
    </row>
    <row r="211" spans="2:27" ht="15.75">
      <c r="B211" s="60" t="s">
        <v>477</v>
      </c>
      <c r="C211" s="112"/>
      <c r="D211" s="112"/>
      <c r="E211" s="112"/>
      <c r="F211" s="112"/>
      <c r="G211" s="112"/>
      <c r="H211" s="61">
        <v>189730.55</v>
      </c>
      <c r="I211" s="62"/>
      <c r="J211" s="62"/>
      <c r="K211" s="112"/>
      <c r="L211" s="112"/>
      <c r="M211" s="112"/>
      <c r="N211" s="112"/>
      <c r="O211" s="670">
        <v>129224.92</v>
      </c>
      <c r="P211" s="670">
        <v>39242.93</v>
      </c>
      <c r="Q211" s="67">
        <v>15652.94</v>
      </c>
      <c r="R211" s="67">
        <v>3457.94</v>
      </c>
      <c r="S211" s="67">
        <v>263668.01</v>
      </c>
      <c r="T211" s="115"/>
      <c r="U211" s="115"/>
      <c r="V211" s="114">
        <v>209278.01</v>
      </c>
      <c r="W211" s="114">
        <v>209278.01</v>
      </c>
      <c r="X211" s="115"/>
      <c r="Y211" s="115"/>
      <c r="Z211" s="114">
        <v>189730.55</v>
      </c>
      <c r="AA211" s="115"/>
    </row>
    <row r="212" spans="2:27" ht="15.75">
      <c r="B212" s="60" t="s">
        <v>478</v>
      </c>
      <c r="C212" s="60"/>
      <c r="D212" s="60"/>
      <c r="E212" s="60"/>
      <c r="F212" s="60"/>
      <c r="G212" s="60"/>
      <c r="H212" s="62">
        <v>88099.23</v>
      </c>
      <c r="I212" s="62"/>
      <c r="J212" s="62"/>
      <c r="K212" s="112"/>
      <c r="L212" s="112"/>
      <c r="M212" s="112"/>
      <c r="N212" s="112"/>
      <c r="O212" s="670">
        <v>206941.73</v>
      </c>
      <c r="P212" s="670">
        <v>206941.73</v>
      </c>
      <c r="Q212" s="67">
        <v>101226.72</v>
      </c>
      <c r="R212" s="67">
        <v>101226.72</v>
      </c>
      <c r="S212" s="67">
        <v>117466.72</v>
      </c>
      <c r="T212" s="115"/>
      <c r="U212" s="115"/>
      <c r="V212" s="114">
        <v>117466.72</v>
      </c>
      <c r="W212" s="114">
        <v>103076.72</v>
      </c>
      <c r="X212" s="115"/>
      <c r="Y212" s="115"/>
      <c r="Z212" s="114">
        <v>88099.23</v>
      </c>
      <c r="AA212" s="115"/>
    </row>
    <row r="213" spans="2:51" s="456" customFormat="1" ht="15" hidden="1">
      <c r="B213" s="9" t="s">
        <v>1010</v>
      </c>
      <c r="C213" s="60"/>
      <c r="D213" s="60"/>
      <c r="E213" s="60"/>
      <c r="F213" s="60"/>
      <c r="G213" s="60"/>
      <c r="H213" s="62"/>
      <c r="I213" s="62"/>
      <c r="J213" s="62"/>
      <c r="K213" s="461"/>
      <c r="L213" s="461"/>
      <c r="M213" s="461"/>
      <c r="N213" s="461"/>
      <c r="O213" s="670">
        <v>0</v>
      </c>
      <c r="P213" s="670"/>
      <c r="Q213" s="67"/>
      <c r="R213" s="67"/>
      <c r="S213" s="67"/>
      <c r="T213" s="115"/>
      <c r="U213" s="115"/>
      <c r="V213" s="114"/>
      <c r="W213" s="114"/>
      <c r="X213" s="115"/>
      <c r="Y213" s="115"/>
      <c r="Z213" s="114"/>
      <c r="AA213" s="115"/>
      <c r="AB213" s="462"/>
      <c r="AC213" s="462"/>
      <c r="AD213" s="462"/>
      <c r="AE213" s="462"/>
      <c r="AF213" s="462"/>
      <c r="AG213" s="462"/>
      <c r="AM213" s="462"/>
      <c r="AN213" s="332"/>
      <c r="AO213" s="462"/>
      <c r="AP213" s="462"/>
      <c r="AQ213" s="462"/>
      <c r="AR213" s="462"/>
      <c r="AS213" s="462"/>
      <c r="AT213" s="462"/>
      <c r="AU213" s="462"/>
      <c r="AV213" s="462"/>
      <c r="AW213" s="462"/>
      <c r="AX213" s="462"/>
      <c r="AY213" s="462"/>
    </row>
    <row r="214" spans="2:27" ht="15.75">
      <c r="B214" s="60" t="s">
        <v>125</v>
      </c>
      <c r="C214" s="60"/>
      <c r="D214" s="60"/>
      <c r="E214" s="60"/>
      <c r="F214" s="60"/>
      <c r="G214" s="60"/>
      <c r="H214" s="62">
        <v>5895</v>
      </c>
      <c r="I214" s="62"/>
      <c r="J214" s="62"/>
      <c r="K214" s="112"/>
      <c r="L214" s="112"/>
      <c r="M214" s="112"/>
      <c r="N214" s="112"/>
      <c r="O214" s="670">
        <v>31855</v>
      </c>
      <c r="P214" s="670">
        <v>31855</v>
      </c>
      <c r="Q214" s="67">
        <v>5895</v>
      </c>
      <c r="R214" s="67">
        <v>5895</v>
      </c>
      <c r="S214" s="67">
        <v>5895</v>
      </c>
      <c r="T214" s="115"/>
      <c r="U214" s="115"/>
      <c r="V214" s="114">
        <v>5895</v>
      </c>
      <c r="W214" s="114">
        <v>5895</v>
      </c>
      <c r="X214" s="115"/>
      <c r="Y214" s="115"/>
      <c r="Z214" s="114">
        <v>5895</v>
      </c>
      <c r="AA214" s="115"/>
    </row>
    <row r="215" spans="2:51" s="168" customFormat="1" ht="15.75">
      <c r="B215" s="60" t="s">
        <v>839</v>
      </c>
      <c r="C215" s="60"/>
      <c r="D215" s="60"/>
      <c r="E215" s="60"/>
      <c r="F215" s="60"/>
      <c r="G215" s="60"/>
      <c r="H215" s="62"/>
      <c r="I215" s="62"/>
      <c r="J215" s="62"/>
      <c r="K215" s="128"/>
      <c r="L215" s="128"/>
      <c r="M215" s="128"/>
      <c r="N215" s="128"/>
      <c r="O215" s="670">
        <v>5494.99</v>
      </c>
      <c r="P215" s="670">
        <v>5494.99</v>
      </c>
      <c r="Q215" s="67"/>
      <c r="R215" s="67"/>
      <c r="S215" s="67"/>
      <c r="T215" s="115"/>
      <c r="U215" s="115"/>
      <c r="V215" s="114"/>
      <c r="W215" s="114"/>
      <c r="X215" s="115"/>
      <c r="Y215" s="115"/>
      <c r="Z215" s="114"/>
      <c r="AA215" s="115"/>
      <c r="AB215" s="125"/>
      <c r="AC215" s="125"/>
      <c r="AD215" s="125"/>
      <c r="AE215" s="125"/>
      <c r="AF215" s="125"/>
      <c r="AG215" s="125"/>
      <c r="AM215" s="125"/>
      <c r="AN215" s="332"/>
      <c r="AO215" s="462"/>
      <c r="AP215" s="462"/>
      <c r="AQ215" s="462"/>
      <c r="AR215" s="462"/>
      <c r="AS215" s="462"/>
      <c r="AT215" s="462"/>
      <c r="AU215" s="462"/>
      <c r="AV215" s="462"/>
      <c r="AW215" s="462"/>
      <c r="AX215" s="462"/>
      <c r="AY215" s="462"/>
    </row>
    <row r="216" spans="2:51" s="168" customFormat="1" ht="15.75">
      <c r="B216" s="60" t="s">
        <v>840</v>
      </c>
      <c r="C216" s="60"/>
      <c r="D216" s="60"/>
      <c r="E216" s="60"/>
      <c r="F216" s="60"/>
      <c r="G216" s="60"/>
      <c r="H216" s="62"/>
      <c r="I216" s="62"/>
      <c r="J216" s="62"/>
      <c r="K216" s="128"/>
      <c r="L216" s="128"/>
      <c r="M216" s="128"/>
      <c r="N216" s="128"/>
      <c r="O216" s="670">
        <v>27667.07</v>
      </c>
      <c r="P216" s="670">
        <v>27667.07</v>
      </c>
      <c r="Q216" s="67"/>
      <c r="R216" s="67"/>
      <c r="S216" s="67"/>
      <c r="T216" s="115"/>
      <c r="U216" s="115"/>
      <c r="V216" s="114"/>
      <c r="W216" s="114"/>
      <c r="X216" s="115"/>
      <c r="Y216" s="115"/>
      <c r="Z216" s="114"/>
      <c r="AA216" s="115"/>
      <c r="AB216" s="125"/>
      <c r="AC216" s="125"/>
      <c r="AD216" s="125"/>
      <c r="AE216" s="125"/>
      <c r="AF216" s="125"/>
      <c r="AG216" s="125"/>
      <c r="AM216" s="125"/>
      <c r="AN216" s="332"/>
      <c r="AO216" s="462"/>
      <c r="AP216" s="462"/>
      <c r="AQ216" s="462"/>
      <c r="AR216" s="462"/>
      <c r="AS216" s="462"/>
      <c r="AT216" s="462"/>
      <c r="AU216" s="462"/>
      <c r="AV216" s="462"/>
      <c r="AW216" s="462"/>
      <c r="AX216" s="462"/>
      <c r="AY216" s="462"/>
    </row>
    <row r="217" spans="1:27" ht="15.75">
      <c r="A217" s="456"/>
      <c r="B217" s="60" t="s">
        <v>121</v>
      </c>
      <c r="C217" s="60"/>
      <c r="D217" s="60"/>
      <c r="E217" s="60"/>
      <c r="F217" s="60"/>
      <c r="G217" s="60"/>
      <c r="H217" s="62">
        <v>15631018.04</v>
      </c>
      <c r="I217" s="62"/>
      <c r="J217" s="62"/>
      <c r="K217" s="112"/>
      <c r="L217" s="112"/>
      <c r="M217" s="112"/>
      <c r="N217" s="112"/>
      <c r="O217" s="670">
        <f>1027095.36+942984.02</f>
        <v>1970079.38</v>
      </c>
      <c r="P217" s="670">
        <f>950418.96+942984.02</f>
        <v>1893402.98</v>
      </c>
      <c r="Q217" s="67">
        <v>553230.96</v>
      </c>
      <c r="R217" s="67">
        <v>239754.94</v>
      </c>
      <c r="S217" s="67">
        <v>16288354.29</v>
      </c>
      <c r="T217" s="115"/>
      <c r="U217" s="115"/>
      <c r="V217" s="114">
        <v>16126252.8</v>
      </c>
      <c r="W217" s="114">
        <v>16100876.9</v>
      </c>
      <c r="X217" s="115"/>
      <c r="Y217" s="115"/>
      <c r="Z217" s="114">
        <v>15705237.98</v>
      </c>
      <c r="AA217" s="115"/>
    </row>
    <row r="218" spans="2:27" ht="16.5" thickBot="1">
      <c r="B218" s="60" t="s">
        <v>126</v>
      </c>
      <c r="C218" s="60"/>
      <c r="D218" s="60"/>
      <c r="E218" s="60"/>
      <c r="F218" s="60"/>
      <c r="G218" s="60"/>
      <c r="H218" s="63">
        <v>37782.99</v>
      </c>
      <c r="I218" s="62"/>
      <c r="J218" s="62"/>
      <c r="K218" s="112"/>
      <c r="L218" s="112"/>
      <c r="M218" s="112"/>
      <c r="N218" s="112"/>
      <c r="O218" s="671">
        <v>150924.4</v>
      </c>
      <c r="P218" s="671">
        <v>150924.4</v>
      </c>
      <c r="Q218" s="68">
        <v>150924.4</v>
      </c>
      <c r="R218" s="68">
        <v>150924.4</v>
      </c>
      <c r="S218" s="68">
        <v>49825.32</v>
      </c>
      <c r="T218" s="115"/>
      <c r="U218" s="115"/>
      <c r="V218" s="284">
        <v>49825.32</v>
      </c>
      <c r="W218" s="284">
        <v>45010.99</v>
      </c>
      <c r="X218" s="115"/>
      <c r="Y218" s="115"/>
      <c r="Z218" s="284">
        <v>37782.99</v>
      </c>
      <c r="AA218" s="115"/>
    </row>
    <row r="219" spans="2:40" ht="16.5">
      <c r="B219" s="60"/>
      <c r="C219" s="60"/>
      <c r="D219" s="60"/>
      <c r="E219" s="60"/>
      <c r="F219" s="60"/>
      <c r="G219" s="60"/>
      <c r="H219" s="69">
        <f>SUM(H202:H218)</f>
        <v>41675288.81000001</v>
      </c>
      <c r="I219" s="69"/>
      <c r="J219" s="69"/>
      <c r="K219" s="112"/>
      <c r="L219" s="112"/>
      <c r="M219" s="112"/>
      <c r="N219" s="112"/>
      <c r="O219" s="650">
        <f>SUM(O202:O218)</f>
        <v>37735482.83</v>
      </c>
      <c r="P219" s="650">
        <f>SUM(P202:P218)</f>
        <v>35342730.67</v>
      </c>
      <c r="Q219" s="123">
        <f>SUM(Q202:Q218)</f>
        <v>31082919.53</v>
      </c>
      <c r="R219" s="123">
        <f>SUM(R202:R218)</f>
        <v>29724530.630000003</v>
      </c>
      <c r="S219" s="123">
        <f>SUM(S202:S218)</f>
        <v>45966896.03</v>
      </c>
      <c r="T219" s="303"/>
      <c r="U219" s="115"/>
      <c r="V219" s="124">
        <f>SUM(V202:V218)</f>
        <v>44433565.15</v>
      </c>
      <c r="W219" s="124">
        <f>SUM(W202:W218)</f>
        <v>44220569.36</v>
      </c>
      <c r="X219" s="115"/>
      <c r="Y219" s="115"/>
      <c r="Z219" s="124">
        <f>SUM(Z202:Z218)</f>
        <v>42541511.25000001</v>
      </c>
      <c r="AA219" s="115"/>
      <c r="AN219" s="449">
        <f>+P219-Q219</f>
        <v>4259811.140000001</v>
      </c>
    </row>
    <row r="220" spans="2:27" ht="15.75">
      <c r="B220" s="60" t="s">
        <v>26</v>
      </c>
      <c r="C220" s="60"/>
      <c r="D220" s="60"/>
      <c r="E220" s="60"/>
      <c r="F220" s="60"/>
      <c r="G220" s="60"/>
      <c r="H220" s="61"/>
      <c r="I220" s="61"/>
      <c r="J220" s="61"/>
      <c r="K220" s="112"/>
      <c r="L220" s="112"/>
      <c r="M220" s="112"/>
      <c r="N220" s="112"/>
      <c r="O220" s="649"/>
      <c r="P220" s="649"/>
      <c r="Q220" s="128"/>
      <c r="R220" s="112"/>
      <c r="S220" s="112"/>
      <c r="T220" s="115"/>
      <c r="U220" s="115"/>
      <c r="V220" s="115"/>
      <c r="W220" s="115"/>
      <c r="X220" s="115"/>
      <c r="Y220" s="115"/>
      <c r="Z220" s="114"/>
      <c r="AA220" s="115"/>
    </row>
    <row r="221" spans="2:32" ht="15.75" thickBot="1">
      <c r="B221" s="60" t="s">
        <v>122</v>
      </c>
      <c r="C221" s="60"/>
      <c r="D221" s="60"/>
      <c r="E221" s="60"/>
      <c r="F221" s="60"/>
      <c r="G221" s="60"/>
      <c r="H221" s="70">
        <v>36302471.88</v>
      </c>
      <c r="I221" s="62"/>
      <c r="J221" s="62"/>
      <c r="K221" s="112"/>
      <c r="L221" s="116"/>
      <c r="M221" s="116"/>
      <c r="N221" s="116"/>
      <c r="O221" s="672">
        <f>+'Depreciación Acumulada'!E22</f>
        <v>23278860.74</v>
      </c>
      <c r="P221" s="672">
        <f>+'Depreciación Acumulada'!F22</f>
        <v>19815582.75</v>
      </c>
      <c r="Q221" s="138">
        <f>+'Depreciación Acumulada'!G22</f>
        <v>16713267.77</v>
      </c>
      <c r="R221" s="138">
        <f>+'Depreciación Acumulada'!H22</f>
        <v>13645284.2</v>
      </c>
      <c r="S221" s="138">
        <f>+'Depreciación Acumulada'!I22</f>
        <v>41064077.23</v>
      </c>
      <c r="T221" s="278"/>
      <c r="U221" s="278"/>
      <c r="V221" s="304">
        <v>40029788.4</v>
      </c>
      <c r="W221" s="284">
        <v>39027668.73</v>
      </c>
      <c r="X221" s="278"/>
      <c r="Y221" s="278"/>
      <c r="Z221" s="284">
        <v>37765965.47</v>
      </c>
      <c r="AA221" s="278"/>
      <c r="AB221" s="285"/>
      <c r="AC221" s="285"/>
      <c r="AD221" s="285"/>
      <c r="AE221" s="285"/>
      <c r="AF221" s="285"/>
    </row>
    <row r="222" spans="2:27" ht="18">
      <c r="B222" s="109" t="s">
        <v>123</v>
      </c>
      <c r="C222" s="60"/>
      <c r="D222" s="60"/>
      <c r="E222" s="60"/>
      <c r="F222" s="60"/>
      <c r="G222" s="60"/>
      <c r="H222" s="69">
        <f>+H219-H221</f>
        <v>5372816.930000007</v>
      </c>
      <c r="I222" s="69"/>
      <c r="J222" s="69"/>
      <c r="K222" s="112"/>
      <c r="L222" s="112"/>
      <c r="M222" s="112"/>
      <c r="N222" s="112"/>
      <c r="O222" s="650">
        <f>+O219-O221</f>
        <v>14456622.09</v>
      </c>
      <c r="P222" s="650">
        <f>+P219-P221</f>
        <v>15527147.920000002</v>
      </c>
      <c r="Q222" s="123">
        <f>+Q219-Q221</f>
        <v>14369651.760000002</v>
      </c>
      <c r="R222" s="123">
        <f>+R219-R221</f>
        <v>16079246.430000003</v>
      </c>
      <c r="S222" s="123">
        <f>+S219-S221</f>
        <v>4902818.8000000045</v>
      </c>
      <c r="T222" s="115"/>
      <c r="U222" s="115"/>
      <c r="V222" s="124">
        <f>+V219-V221</f>
        <v>4403776.75</v>
      </c>
      <c r="W222" s="124">
        <f>+W219-W221</f>
        <v>5192900.630000003</v>
      </c>
      <c r="X222" s="115"/>
      <c r="Y222" s="115"/>
      <c r="Z222" s="124">
        <f>+Z219-Z221</f>
        <v>4775545.780000009</v>
      </c>
      <c r="AA222" s="115"/>
    </row>
    <row r="223" spans="2:51" s="456" customFormat="1" ht="18">
      <c r="B223" s="109"/>
      <c r="C223" s="60"/>
      <c r="D223" s="60"/>
      <c r="E223" s="60"/>
      <c r="F223" s="60"/>
      <c r="G223" s="60"/>
      <c r="H223" s="69"/>
      <c r="I223" s="69"/>
      <c r="J223" s="69"/>
      <c r="K223" s="461"/>
      <c r="L223" s="461"/>
      <c r="M223" s="461"/>
      <c r="N223" s="461"/>
      <c r="O223" s="461"/>
      <c r="P223" s="123"/>
      <c r="Q223" s="123"/>
      <c r="R223" s="123"/>
      <c r="S223" s="123"/>
      <c r="T223" s="115"/>
      <c r="U223" s="115"/>
      <c r="V223" s="124"/>
      <c r="W223" s="124"/>
      <c r="X223" s="115"/>
      <c r="Y223" s="115"/>
      <c r="Z223" s="124"/>
      <c r="AA223" s="115"/>
      <c r="AB223" s="462"/>
      <c r="AC223" s="462"/>
      <c r="AD223" s="462"/>
      <c r="AE223" s="462"/>
      <c r="AF223" s="462"/>
      <c r="AG223" s="462"/>
      <c r="AM223" s="462"/>
      <c r="AN223" s="332"/>
      <c r="AO223" s="285">
        <f>+O219+O240+O257+O277+O285+O292</f>
        <v>41374916.26</v>
      </c>
      <c r="AP223" s="462"/>
      <c r="AQ223" s="462"/>
      <c r="AR223" s="462"/>
      <c r="AS223" s="462"/>
      <c r="AT223" s="462"/>
      <c r="AU223" s="462"/>
      <c r="AV223" s="462"/>
      <c r="AW223" s="462"/>
      <c r="AX223" s="462"/>
      <c r="AY223" s="462"/>
    </row>
    <row r="224" spans="1:40" s="462" customFormat="1" ht="15" hidden="1">
      <c r="A224" s="462" t="s">
        <v>96</v>
      </c>
      <c r="B224" s="527" t="s">
        <v>933</v>
      </c>
      <c r="C224" s="289"/>
      <c r="D224" s="289"/>
      <c r="E224" s="289"/>
      <c r="F224" s="289"/>
      <c r="G224" s="289"/>
      <c r="H224" s="305"/>
      <c r="I224" s="305"/>
      <c r="J224" s="305"/>
      <c r="K224" s="115"/>
      <c r="L224" s="115"/>
      <c r="M224" s="115"/>
      <c r="N224" s="115"/>
      <c r="O224" s="115"/>
      <c r="P224" s="124"/>
      <c r="Q224" s="124"/>
      <c r="R224" s="124"/>
      <c r="S224" s="124"/>
      <c r="T224" s="115"/>
      <c r="U224" s="115"/>
      <c r="V224" s="124"/>
      <c r="W224" s="124"/>
      <c r="X224" s="115"/>
      <c r="Y224" s="115"/>
      <c r="Z224" s="124"/>
      <c r="AA224" s="115"/>
      <c r="AN224" s="332"/>
    </row>
    <row r="225" spans="2:40" s="462" customFormat="1" ht="15" hidden="1">
      <c r="B225" s="293" t="s">
        <v>934</v>
      </c>
      <c r="C225" s="289"/>
      <c r="D225" s="289"/>
      <c r="E225" s="289"/>
      <c r="F225" s="289"/>
      <c r="G225" s="289"/>
      <c r="H225" s="305"/>
      <c r="I225" s="305"/>
      <c r="J225" s="305"/>
      <c r="K225" s="115"/>
      <c r="L225" s="115"/>
      <c r="M225" s="115"/>
      <c r="N225" s="115"/>
      <c r="O225" s="115"/>
      <c r="P225" s="115"/>
      <c r="Q225" s="115"/>
      <c r="R225" s="115"/>
      <c r="S225" s="124"/>
      <c r="T225" s="115"/>
      <c r="U225" s="115"/>
      <c r="V225" s="124"/>
      <c r="W225" s="124"/>
      <c r="X225" s="115"/>
      <c r="Y225" s="115"/>
      <c r="Z225" s="124"/>
      <c r="AA225" s="115"/>
      <c r="AN225" s="332"/>
    </row>
    <row r="226" spans="1:40" s="462" customFormat="1" ht="15" hidden="1">
      <c r="A226" s="462" t="s">
        <v>108</v>
      </c>
      <c r="B226" s="293" t="s">
        <v>935</v>
      </c>
      <c r="C226" s="289"/>
      <c r="D226" s="289"/>
      <c r="E226" s="289"/>
      <c r="F226" s="289"/>
      <c r="G226" s="289"/>
      <c r="H226" s="305"/>
      <c r="I226" s="305"/>
      <c r="J226" s="305"/>
      <c r="K226" s="115"/>
      <c r="L226" s="115"/>
      <c r="M226" s="115"/>
      <c r="N226" s="115"/>
      <c r="O226" s="115"/>
      <c r="P226" s="115"/>
      <c r="Q226" s="115"/>
      <c r="R226" s="115"/>
      <c r="S226" s="124"/>
      <c r="T226" s="115"/>
      <c r="U226" s="115"/>
      <c r="V226" s="124"/>
      <c r="W226" s="124"/>
      <c r="X226" s="115"/>
      <c r="Y226" s="115"/>
      <c r="Z226" s="124"/>
      <c r="AA226" s="115"/>
      <c r="AN226" s="332"/>
    </row>
    <row r="227" spans="2:40" s="462" customFormat="1" ht="15" hidden="1">
      <c r="B227" s="293" t="s">
        <v>936</v>
      </c>
      <c r="C227" s="289"/>
      <c r="D227" s="289"/>
      <c r="E227" s="289"/>
      <c r="F227" s="289"/>
      <c r="G227" s="289"/>
      <c r="H227" s="305"/>
      <c r="I227" s="305"/>
      <c r="J227" s="305"/>
      <c r="K227" s="115"/>
      <c r="L227" s="115"/>
      <c r="M227" s="115"/>
      <c r="N227" s="115"/>
      <c r="O227" s="115"/>
      <c r="P227" s="115"/>
      <c r="Q227" s="115"/>
      <c r="R227" s="115"/>
      <c r="S227" s="124"/>
      <c r="T227" s="115"/>
      <c r="U227" s="115"/>
      <c r="V227" s="124"/>
      <c r="W227" s="124"/>
      <c r="X227" s="115"/>
      <c r="Y227" s="115"/>
      <c r="Z227" s="124"/>
      <c r="AA227" s="115"/>
      <c r="AN227" s="332"/>
    </row>
    <row r="228" spans="2:42" ht="24.75">
      <c r="B228" s="12"/>
      <c r="C228" s="12"/>
      <c r="D228" s="12"/>
      <c r="E228" s="107"/>
      <c r="F228" s="12"/>
      <c r="G228" s="12"/>
      <c r="H228" s="12"/>
      <c r="I228" s="12"/>
      <c r="J228" s="12"/>
      <c r="Q228" s="522" t="s">
        <v>642</v>
      </c>
      <c r="R228" s="522"/>
      <c r="S228" s="217"/>
      <c r="AP228" s="285"/>
    </row>
    <row r="229" spans="2:51" s="456" customFormat="1" ht="24.75">
      <c r="B229" s="12"/>
      <c r="C229" s="12"/>
      <c r="D229" s="12"/>
      <c r="E229" s="107"/>
      <c r="F229" s="12"/>
      <c r="G229" s="12"/>
      <c r="H229" s="12"/>
      <c r="I229" s="12"/>
      <c r="J229" s="12"/>
      <c r="Q229" s="528"/>
      <c r="R229" s="528"/>
      <c r="S229" s="530"/>
      <c r="T229" s="462"/>
      <c r="U229" s="462"/>
      <c r="V229" s="462"/>
      <c r="W229" s="462"/>
      <c r="X229" s="462"/>
      <c r="Y229" s="462"/>
      <c r="Z229" s="462"/>
      <c r="AA229" s="462"/>
      <c r="AB229" s="462"/>
      <c r="AC229" s="462"/>
      <c r="AD229" s="462"/>
      <c r="AE229" s="462"/>
      <c r="AF229" s="462"/>
      <c r="AG229" s="462"/>
      <c r="AM229" s="462"/>
      <c r="AN229" s="332"/>
      <c r="AO229" s="462"/>
      <c r="AP229" s="285"/>
      <c r="AQ229" s="462"/>
      <c r="AR229" s="462"/>
      <c r="AS229" s="462"/>
      <c r="AT229" s="462"/>
      <c r="AU229" s="462"/>
      <c r="AV229" s="462"/>
      <c r="AW229" s="462"/>
      <c r="AX229" s="462"/>
      <c r="AY229" s="462"/>
    </row>
    <row r="230" spans="2:26" ht="18">
      <c r="B230" s="109" t="s">
        <v>25</v>
      </c>
      <c r="C230" s="12"/>
      <c r="D230" s="12"/>
      <c r="E230" s="12"/>
      <c r="F230" s="12"/>
      <c r="G230" s="12"/>
      <c r="H230" s="12"/>
      <c r="I230" s="12"/>
      <c r="J230" s="12"/>
      <c r="O230" s="32">
        <v>2023</v>
      </c>
      <c r="P230" s="32">
        <v>2022</v>
      </c>
      <c r="Q230" s="110">
        <v>2021</v>
      </c>
      <c r="R230" s="110">
        <v>2020</v>
      </c>
      <c r="S230" s="110">
        <v>2019</v>
      </c>
      <c r="V230" s="277">
        <v>2018</v>
      </c>
      <c r="W230" s="295">
        <v>2017</v>
      </c>
      <c r="X230" s="300"/>
      <c r="Y230" s="300"/>
      <c r="Z230" s="295">
        <v>2016</v>
      </c>
    </row>
    <row r="231" spans="2:26" ht="15">
      <c r="B231" s="60" t="s">
        <v>29</v>
      </c>
      <c r="C231" s="60"/>
      <c r="D231" s="60"/>
      <c r="E231" s="60"/>
      <c r="F231" s="60"/>
      <c r="G231" s="60"/>
      <c r="H231" s="61">
        <v>1322372.29</v>
      </c>
      <c r="I231" s="61"/>
      <c r="J231" s="61"/>
      <c r="K231" s="112"/>
      <c r="L231" s="112"/>
      <c r="M231" s="112"/>
      <c r="N231" s="112"/>
      <c r="O231" s="670">
        <f>927665.16+25217.6+4539.17</f>
        <v>957421.93</v>
      </c>
      <c r="P231" s="670">
        <v>870406.84</v>
      </c>
      <c r="Q231" s="67">
        <v>813740.64</v>
      </c>
      <c r="R231" s="67">
        <v>813740.64</v>
      </c>
      <c r="S231" s="67">
        <v>1449196.92</v>
      </c>
      <c r="T231" s="115"/>
      <c r="U231" s="115"/>
      <c r="V231" s="114">
        <v>1413813.44</v>
      </c>
      <c r="W231" s="114">
        <v>1373811.44</v>
      </c>
      <c r="X231" s="115"/>
      <c r="Y231" s="115"/>
      <c r="Z231" s="114">
        <v>1350732.41</v>
      </c>
    </row>
    <row r="232" spans="2:26" ht="15" hidden="1">
      <c r="B232" s="60" t="s">
        <v>500</v>
      </c>
      <c r="C232" s="60"/>
      <c r="D232" s="60"/>
      <c r="E232" s="60"/>
      <c r="F232" s="60"/>
      <c r="G232" s="60"/>
      <c r="H232" s="61">
        <v>1500</v>
      </c>
      <c r="I232" s="61"/>
      <c r="J232" s="61"/>
      <c r="K232" s="112"/>
      <c r="L232" s="112"/>
      <c r="M232" s="112"/>
      <c r="N232" s="112"/>
      <c r="O232" s="670"/>
      <c r="P232" s="670"/>
      <c r="Q232" s="67">
        <v>0</v>
      </c>
      <c r="R232" s="67">
        <v>0</v>
      </c>
      <c r="S232" s="67">
        <v>1500</v>
      </c>
      <c r="T232" s="115"/>
      <c r="U232" s="115"/>
      <c r="V232" s="114">
        <v>1500</v>
      </c>
      <c r="W232" s="114">
        <v>1500</v>
      </c>
      <c r="X232" s="115"/>
      <c r="Y232" s="115"/>
      <c r="Z232" s="114">
        <v>1500</v>
      </c>
    </row>
    <row r="233" spans="2:26" ht="15">
      <c r="B233" s="60" t="s">
        <v>32</v>
      </c>
      <c r="C233" s="60"/>
      <c r="D233" s="60"/>
      <c r="E233" s="60"/>
      <c r="F233" s="60"/>
      <c r="G233" s="60"/>
      <c r="H233" s="61">
        <v>261656.02</v>
      </c>
      <c r="I233" s="61"/>
      <c r="J233" s="61"/>
      <c r="K233" s="112"/>
      <c r="L233" s="112"/>
      <c r="M233" s="112"/>
      <c r="N233" s="112"/>
      <c r="O233" s="670">
        <v>363373.65</v>
      </c>
      <c r="P233" s="670">
        <v>363373.65</v>
      </c>
      <c r="Q233" s="67">
        <v>363373.65</v>
      </c>
      <c r="R233" s="67">
        <v>363373.65</v>
      </c>
      <c r="S233" s="67">
        <v>600030.67</v>
      </c>
      <c r="T233" s="115"/>
      <c r="U233" s="115"/>
      <c r="V233" s="114">
        <v>600030.67</v>
      </c>
      <c r="W233" s="114">
        <v>600030.67</v>
      </c>
      <c r="X233" s="115"/>
      <c r="Y233" s="115"/>
      <c r="Z233" s="114">
        <v>600030.67</v>
      </c>
    </row>
    <row r="234" spans="2:26" ht="15" hidden="1">
      <c r="B234" s="60" t="s">
        <v>4</v>
      </c>
      <c r="C234" s="60"/>
      <c r="D234" s="60"/>
      <c r="E234" s="60"/>
      <c r="F234" s="60"/>
      <c r="G234" s="60"/>
      <c r="H234" s="61">
        <v>108897.18</v>
      </c>
      <c r="I234" s="61"/>
      <c r="J234" s="61"/>
      <c r="K234" s="112"/>
      <c r="L234" s="112"/>
      <c r="M234" s="112"/>
      <c r="N234" s="112"/>
      <c r="O234" s="670"/>
      <c r="P234" s="670"/>
      <c r="Q234" s="67">
        <v>0</v>
      </c>
      <c r="R234" s="67">
        <v>0</v>
      </c>
      <c r="S234" s="67">
        <v>131197.17</v>
      </c>
      <c r="T234" s="115"/>
      <c r="U234" s="115"/>
      <c r="V234" s="114">
        <v>131197.17</v>
      </c>
      <c r="W234" s="114">
        <v>131197.17</v>
      </c>
      <c r="X234" s="115"/>
      <c r="Y234" s="115"/>
      <c r="Z234" s="114">
        <v>131197.17</v>
      </c>
    </row>
    <row r="235" spans="2:26" ht="15">
      <c r="B235" s="60" t="s">
        <v>437</v>
      </c>
      <c r="C235" s="60"/>
      <c r="D235" s="60"/>
      <c r="E235" s="60"/>
      <c r="F235" s="60"/>
      <c r="G235" s="60"/>
      <c r="H235" s="61">
        <v>11848</v>
      </c>
      <c r="I235" s="61"/>
      <c r="J235" s="61"/>
      <c r="K235" s="112"/>
      <c r="L235" s="112"/>
      <c r="M235" s="112"/>
      <c r="N235" s="112"/>
      <c r="O235" s="670">
        <v>8829.34</v>
      </c>
      <c r="P235" s="670">
        <v>2849</v>
      </c>
      <c r="Q235" s="67">
        <v>2849</v>
      </c>
      <c r="R235" s="67">
        <v>2849</v>
      </c>
      <c r="S235" s="67">
        <v>11848</v>
      </c>
      <c r="T235" s="115"/>
      <c r="U235" s="115"/>
      <c r="V235" s="114">
        <v>11848</v>
      </c>
      <c r="W235" s="114">
        <v>11848</v>
      </c>
      <c r="X235" s="115"/>
      <c r="Y235" s="115"/>
      <c r="Z235" s="114">
        <v>11848</v>
      </c>
    </row>
    <row r="236" spans="2:26" ht="15">
      <c r="B236" s="60" t="s">
        <v>120</v>
      </c>
      <c r="C236" s="60"/>
      <c r="D236" s="60"/>
      <c r="E236" s="60"/>
      <c r="F236" s="60"/>
      <c r="G236" s="60"/>
      <c r="H236" s="61">
        <v>6525</v>
      </c>
      <c r="I236" s="61"/>
      <c r="J236" s="61"/>
      <c r="K236" s="112"/>
      <c r="L236" s="112"/>
      <c r="M236" s="112"/>
      <c r="N236" s="112"/>
      <c r="O236" s="670"/>
      <c r="P236" s="670"/>
      <c r="Q236" s="67">
        <v>0</v>
      </c>
      <c r="R236" s="67">
        <v>0</v>
      </c>
      <c r="S236" s="67">
        <v>6525</v>
      </c>
      <c r="T236" s="115"/>
      <c r="U236" s="115"/>
      <c r="V236" s="114">
        <v>6525</v>
      </c>
      <c r="W236" s="114">
        <v>6525</v>
      </c>
      <c r="X236" s="115"/>
      <c r="Y236" s="115"/>
      <c r="Z236" s="114">
        <v>6525</v>
      </c>
    </row>
    <row r="237" spans="2:26" ht="15">
      <c r="B237" s="60" t="s">
        <v>479</v>
      </c>
      <c r="C237" s="60"/>
      <c r="D237" s="60"/>
      <c r="E237" s="60"/>
      <c r="F237" s="60"/>
      <c r="G237" s="60"/>
      <c r="H237" s="61">
        <v>47484</v>
      </c>
      <c r="I237" s="61"/>
      <c r="J237" s="61"/>
      <c r="K237" s="112"/>
      <c r="L237" s="112"/>
      <c r="M237" s="112"/>
      <c r="N237" s="112"/>
      <c r="O237" s="670">
        <v>15895</v>
      </c>
      <c r="P237" s="670">
        <v>15895</v>
      </c>
      <c r="Q237" s="67">
        <v>15895</v>
      </c>
      <c r="R237" s="67">
        <v>15895</v>
      </c>
      <c r="S237" s="67">
        <v>59479.6</v>
      </c>
      <c r="T237" s="115"/>
      <c r="U237" s="115"/>
      <c r="V237" s="114">
        <v>59479.6</v>
      </c>
      <c r="W237" s="114">
        <v>59479.6</v>
      </c>
      <c r="X237" s="115"/>
      <c r="Y237" s="115"/>
      <c r="Z237" s="114">
        <v>59479.6</v>
      </c>
    </row>
    <row r="238" spans="2:26" ht="15">
      <c r="B238" s="60" t="s">
        <v>480</v>
      </c>
      <c r="C238" s="60"/>
      <c r="D238" s="60"/>
      <c r="E238" s="60"/>
      <c r="F238" s="60"/>
      <c r="G238" s="60"/>
      <c r="H238" s="61">
        <v>12790</v>
      </c>
      <c r="I238" s="61"/>
      <c r="J238" s="61"/>
      <c r="K238" s="112"/>
      <c r="L238" s="112"/>
      <c r="M238" s="112"/>
      <c r="N238" s="112"/>
      <c r="O238" s="670">
        <v>25680.85</v>
      </c>
      <c r="P238" s="670">
        <v>25680.85</v>
      </c>
      <c r="Q238" s="67">
        <v>25680.85</v>
      </c>
      <c r="R238" s="67">
        <v>16285.85</v>
      </c>
      <c r="S238" s="67">
        <v>31002.89</v>
      </c>
      <c r="T238" s="303"/>
      <c r="U238" s="115"/>
      <c r="V238" s="114">
        <v>22507.89</v>
      </c>
      <c r="W238" s="114">
        <v>22507.89</v>
      </c>
      <c r="X238" s="115"/>
      <c r="Y238" s="115"/>
      <c r="Z238" s="114">
        <v>22507.89</v>
      </c>
    </row>
    <row r="239" spans="2:26" ht="15.75" thickBot="1">
      <c r="B239" s="60" t="s">
        <v>121</v>
      </c>
      <c r="C239" s="60"/>
      <c r="D239" s="60"/>
      <c r="E239" s="60"/>
      <c r="F239" s="60"/>
      <c r="G239" s="60"/>
      <c r="H239" s="63">
        <v>54670.34</v>
      </c>
      <c r="I239" s="62"/>
      <c r="J239" s="62"/>
      <c r="K239" s="112"/>
      <c r="L239" s="112"/>
      <c r="M239" s="112"/>
      <c r="N239" s="112"/>
      <c r="O239" s="671">
        <v>25813.44</v>
      </c>
      <c r="P239" s="671">
        <v>25813.44</v>
      </c>
      <c r="Q239" s="68">
        <v>25813.44</v>
      </c>
      <c r="R239" s="68">
        <v>25813.44</v>
      </c>
      <c r="S239" s="68">
        <v>57108.84</v>
      </c>
      <c r="T239" s="115"/>
      <c r="U239" s="115"/>
      <c r="V239" s="284">
        <v>55313.84</v>
      </c>
      <c r="W239" s="284">
        <v>55313.84</v>
      </c>
      <c r="X239" s="115"/>
      <c r="Y239" s="115"/>
      <c r="Z239" s="284">
        <v>55313.84</v>
      </c>
    </row>
    <row r="240" spans="2:40" ht="15">
      <c r="B240" s="60"/>
      <c r="C240" s="60"/>
      <c r="D240" s="60"/>
      <c r="E240" s="60"/>
      <c r="F240" s="60"/>
      <c r="G240" s="60"/>
      <c r="H240" s="69">
        <f>SUM(H231:H239)</f>
        <v>1827742.83</v>
      </c>
      <c r="I240" s="69"/>
      <c r="J240" s="69"/>
      <c r="K240" s="112"/>
      <c r="L240" s="112"/>
      <c r="M240" s="112"/>
      <c r="N240" s="112"/>
      <c r="O240" s="650">
        <f>SUM(O231:O239)</f>
        <v>1397014.2100000002</v>
      </c>
      <c r="P240" s="650">
        <f>SUM(P231:P239)</f>
        <v>1304018.78</v>
      </c>
      <c r="Q240" s="123">
        <f>SUM(Q231:Q239)</f>
        <v>1247352.58</v>
      </c>
      <c r="R240" s="123">
        <f>SUM(R231:R239)</f>
        <v>1237957.58</v>
      </c>
      <c r="S240" s="123">
        <f>SUM(S231:S239)</f>
        <v>2347889.09</v>
      </c>
      <c r="T240" s="115"/>
      <c r="U240" s="115"/>
      <c r="V240" s="305">
        <f>SUM(V231:V239)</f>
        <v>2302215.61</v>
      </c>
      <c r="W240" s="305">
        <f>SUM(W231:W239)</f>
        <v>2262213.61</v>
      </c>
      <c r="X240" s="115"/>
      <c r="Y240" s="115"/>
      <c r="Z240" s="305">
        <f>SUM(Z231:Z239)</f>
        <v>2239134.58</v>
      </c>
      <c r="AN240" s="475">
        <f>+P240-Q240</f>
        <v>56666.19999999995</v>
      </c>
    </row>
    <row r="241" spans="2:26" ht="15">
      <c r="B241" s="60" t="s">
        <v>26</v>
      </c>
      <c r="C241" s="60"/>
      <c r="D241" s="60"/>
      <c r="E241" s="60"/>
      <c r="F241" s="60"/>
      <c r="G241" s="60"/>
      <c r="H241" s="61"/>
      <c r="I241" s="61"/>
      <c r="J241" s="61"/>
      <c r="K241" s="112"/>
      <c r="L241" s="112"/>
      <c r="M241" s="112"/>
      <c r="N241" s="112"/>
      <c r="O241" s="649"/>
      <c r="P241" s="649"/>
      <c r="Q241" s="128"/>
      <c r="R241" s="112"/>
      <c r="S241" s="112"/>
      <c r="T241" s="115"/>
      <c r="U241" s="115"/>
      <c r="V241" s="115"/>
      <c r="W241" s="114"/>
      <c r="X241" s="115"/>
      <c r="Y241" s="115"/>
      <c r="Z241" s="114"/>
    </row>
    <row r="242" spans="2:26" ht="15.75" thickBot="1">
      <c r="B242" s="60" t="s">
        <v>122</v>
      </c>
      <c r="C242" s="60"/>
      <c r="D242" s="60"/>
      <c r="E242" s="60"/>
      <c r="F242" s="60"/>
      <c r="G242" s="60"/>
      <c r="H242" s="63">
        <v>1697965.29</v>
      </c>
      <c r="I242" s="62"/>
      <c r="J242" s="62"/>
      <c r="K242" s="112"/>
      <c r="L242" s="112"/>
      <c r="M242" s="112"/>
      <c r="N242" s="112"/>
      <c r="O242" s="657">
        <f>+'Depreciación Acumulada'!E37</f>
        <v>957422.77</v>
      </c>
      <c r="P242" s="657">
        <f>+'Depreciación Acumulada'!F37</f>
        <v>937818.49</v>
      </c>
      <c r="Q242" s="86">
        <f>+'Depreciación Acumulada'!G37</f>
        <v>926148.2100000001</v>
      </c>
      <c r="R242" s="86">
        <f>+'Depreciación Acumulada'!H37</f>
        <v>916127.61</v>
      </c>
      <c r="S242" s="86">
        <f>+'Depreciación Acumulada'!I37</f>
        <v>2090621.37</v>
      </c>
      <c r="T242" s="115"/>
      <c r="U242" s="115"/>
      <c r="V242" s="284">
        <v>1979036.82</v>
      </c>
      <c r="W242" s="284">
        <v>1867452.21</v>
      </c>
      <c r="X242" s="115"/>
      <c r="Y242" s="115"/>
      <c r="Z242" s="284">
        <v>1764486.83</v>
      </c>
    </row>
    <row r="243" spans="2:26" ht="15">
      <c r="B243" s="72" t="s">
        <v>123</v>
      </c>
      <c r="C243" s="60"/>
      <c r="D243" s="60"/>
      <c r="E243" s="60"/>
      <c r="F243" s="60"/>
      <c r="G243" s="60"/>
      <c r="H243" s="69">
        <f>+H240-H242</f>
        <v>129777.54000000004</v>
      </c>
      <c r="I243" s="69"/>
      <c r="J243" s="69"/>
      <c r="K243" s="112"/>
      <c r="L243" s="112"/>
      <c r="M243" s="112"/>
      <c r="N243" s="112"/>
      <c r="O243" s="650">
        <f>+O240-O242</f>
        <v>439591.4400000002</v>
      </c>
      <c r="P243" s="650">
        <f>+P240-P242</f>
        <v>366200.29000000004</v>
      </c>
      <c r="Q243" s="139">
        <f>+Q240-Q242</f>
        <v>321204.37</v>
      </c>
      <c r="R243" s="139">
        <f>+R240-R242</f>
        <v>321829.9700000001</v>
      </c>
      <c r="S243" s="139">
        <f>+S240-S242</f>
        <v>257267.71999999974</v>
      </c>
      <c r="T243" s="115"/>
      <c r="U243" s="115"/>
      <c r="V243" s="124">
        <f>+V240-V242</f>
        <v>323178.7899999998</v>
      </c>
      <c r="W243" s="124">
        <f>+W240-W242</f>
        <v>394761.3999999999</v>
      </c>
      <c r="X243" s="115"/>
      <c r="Y243" s="115"/>
      <c r="Z243" s="124">
        <f>+Z240-Z242</f>
        <v>474647.75</v>
      </c>
    </row>
    <row r="244" spans="2:26" ht="15">
      <c r="B244" s="72"/>
      <c r="C244" s="60"/>
      <c r="D244" s="60"/>
      <c r="E244" s="60"/>
      <c r="F244" s="60"/>
      <c r="G244" s="60"/>
      <c r="H244" s="69"/>
      <c r="I244" s="69"/>
      <c r="J244" s="69"/>
      <c r="K244" s="112"/>
      <c r="L244" s="112"/>
      <c r="M244" s="112"/>
      <c r="N244" s="112"/>
      <c r="O244" s="461"/>
      <c r="P244" s="128"/>
      <c r="Q244" s="128"/>
      <c r="R244" s="112"/>
      <c r="S244" s="139"/>
      <c r="T244" s="115"/>
      <c r="U244" s="115"/>
      <c r="V244" s="124"/>
      <c r="W244" s="124"/>
      <c r="X244" s="115"/>
      <c r="Y244" s="115"/>
      <c r="Z244" s="124"/>
    </row>
    <row r="245" spans="2:26" ht="14.25">
      <c r="B245" s="12"/>
      <c r="C245" s="12"/>
      <c r="D245" s="12"/>
      <c r="E245" s="12"/>
      <c r="F245" s="12"/>
      <c r="G245" s="12"/>
      <c r="H245" s="6"/>
      <c r="I245" s="6"/>
      <c r="J245" s="6"/>
      <c r="Q245" s="522" t="s">
        <v>642</v>
      </c>
      <c r="R245" s="522"/>
      <c r="S245" s="217"/>
      <c r="Z245" s="286"/>
    </row>
    <row r="246" spans="2:26" ht="18">
      <c r="B246" s="109" t="s">
        <v>24</v>
      </c>
      <c r="C246" s="12"/>
      <c r="D246" s="12"/>
      <c r="E246" s="12"/>
      <c r="F246" s="12"/>
      <c r="G246" s="12"/>
      <c r="H246" s="6"/>
      <c r="I246" s="6"/>
      <c r="J246" s="6"/>
      <c r="O246" s="32">
        <v>2023</v>
      </c>
      <c r="P246" s="32">
        <v>2022</v>
      </c>
      <c r="Q246" s="110">
        <v>2021</v>
      </c>
      <c r="R246" s="110">
        <v>2020</v>
      </c>
      <c r="S246" s="110">
        <v>2019</v>
      </c>
      <c r="V246" s="277">
        <v>2018</v>
      </c>
      <c r="W246" s="295">
        <v>2017</v>
      </c>
      <c r="X246" s="300"/>
      <c r="Y246" s="300"/>
      <c r="Z246" s="295">
        <v>2016</v>
      </c>
    </row>
    <row r="247" spans="2:26" ht="15">
      <c r="B247" s="60" t="s">
        <v>29</v>
      </c>
      <c r="C247" s="60"/>
      <c r="D247" s="60"/>
      <c r="E247" s="60"/>
      <c r="F247" s="60"/>
      <c r="G247" s="60"/>
      <c r="H247" s="61">
        <v>715389.94</v>
      </c>
      <c r="I247" s="61"/>
      <c r="J247" s="61"/>
      <c r="K247" s="112"/>
      <c r="L247" s="112"/>
      <c r="M247" s="112"/>
      <c r="N247" s="112"/>
      <c r="O247" s="670">
        <f>1062426.02+12318.24+2217.29</f>
        <v>1076961.55</v>
      </c>
      <c r="P247" s="670">
        <v>1032446</v>
      </c>
      <c r="Q247" s="67">
        <v>1015928.36</v>
      </c>
      <c r="R247" s="67">
        <v>1015928.36</v>
      </c>
      <c r="S247" s="67">
        <v>939611.78</v>
      </c>
      <c r="T247" s="115"/>
      <c r="U247" s="115"/>
      <c r="V247" s="114">
        <v>908840.91</v>
      </c>
      <c r="W247" s="114">
        <v>908840.91</v>
      </c>
      <c r="X247" s="115"/>
      <c r="Y247" s="115"/>
      <c r="Z247" s="114">
        <v>748429.94</v>
      </c>
    </row>
    <row r="248" spans="2:26" ht="15" hidden="1">
      <c r="B248" s="60" t="s">
        <v>500</v>
      </c>
      <c r="C248" s="60"/>
      <c r="D248" s="60"/>
      <c r="E248" s="60"/>
      <c r="F248" s="60"/>
      <c r="G248" s="60"/>
      <c r="H248" s="61">
        <v>19952</v>
      </c>
      <c r="I248" s="61"/>
      <c r="J248" s="61"/>
      <c r="K248" s="112"/>
      <c r="L248" s="112"/>
      <c r="M248" s="112"/>
      <c r="N248" s="112"/>
      <c r="O248" s="649"/>
      <c r="P248" s="649"/>
      <c r="Q248" s="128"/>
      <c r="R248" s="112"/>
      <c r="S248" s="67">
        <v>19952</v>
      </c>
      <c r="T248" s="115"/>
      <c r="U248" s="115"/>
      <c r="V248" s="114">
        <v>19952</v>
      </c>
      <c r="W248" s="114">
        <v>19952</v>
      </c>
      <c r="X248" s="115"/>
      <c r="Y248" s="115"/>
      <c r="Z248" s="114">
        <v>19952</v>
      </c>
    </row>
    <row r="249" spans="2:26" ht="15" hidden="1">
      <c r="B249" s="60" t="s">
        <v>31</v>
      </c>
      <c r="C249" s="60"/>
      <c r="D249" s="60"/>
      <c r="E249" s="60"/>
      <c r="F249" s="60"/>
      <c r="G249" s="60"/>
      <c r="H249" s="61">
        <v>382724.01</v>
      </c>
      <c r="I249" s="61"/>
      <c r="J249" s="61"/>
      <c r="K249" s="112"/>
      <c r="L249" s="112"/>
      <c r="M249" s="112"/>
      <c r="N249" s="112"/>
      <c r="O249" s="649"/>
      <c r="P249" s="649"/>
      <c r="Q249" s="128"/>
      <c r="R249" s="112"/>
      <c r="S249" s="67">
        <v>382724.01</v>
      </c>
      <c r="T249" s="115"/>
      <c r="U249" s="115"/>
      <c r="V249" s="114">
        <v>382724.01</v>
      </c>
      <c r="W249" s="114">
        <v>382724.01</v>
      </c>
      <c r="X249" s="115"/>
      <c r="Y249" s="115"/>
      <c r="Z249" s="114">
        <v>382724.01</v>
      </c>
    </row>
    <row r="250" spans="2:26" ht="15">
      <c r="B250" s="60" t="s">
        <v>32</v>
      </c>
      <c r="C250" s="60"/>
      <c r="D250" s="60"/>
      <c r="E250" s="60"/>
      <c r="F250" s="60"/>
      <c r="G250" s="60"/>
      <c r="H250" s="61">
        <f>72799+11774</f>
        <v>84573</v>
      </c>
      <c r="I250" s="61"/>
      <c r="J250" s="61"/>
      <c r="K250" s="112"/>
      <c r="L250" s="112"/>
      <c r="M250" s="112"/>
      <c r="N250" s="112"/>
      <c r="O250" s="670">
        <v>267800</v>
      </c>
      <c r="P250" s="670">
        <v>27800</v>
      </c>
      <c r="Q250" s="67">
        <v>27800</v>
      </c>
      <c r="R250" s="67">
        <v>27800</v>
      </c>
      <c r="S250" s="67">
        <v>148995.76</v>
      </c>
      <c r="T250" s="115"/>
      <c r="U250" s="115"/>
      <c r="V250" s="114">
        <v>148995.76</v>
      </c>
      <c r="W250" s="114">
        <v>148995.76</v>
      </c>
      <c r="X250" s="115"/>
      <c r="Y250" s="115"/>
      <c r="Z250" s="114">
        <v>84573</v>
      </c>
    </row>
    <row r="251" spans="2:26" ht="15">
      <c r="B251" s="60" t="s">
        <v>437</v>
      </c>
      <c r="C251" s="60"/>
      <c r="D251" s="60"/>
      <c r="E251" s="60"/>
      <c r="F251" s="60"/>
      <c r="G251" s="60"/>
      <c r="H251" s="61">
        <v>13780.16</v>
      </c>
      <c r="I251" s="61"/>
      <c r="J251" s="61"/>
      <c r="K251" s="112"/>
      <c r="L251" s="112"/>
      <c r="M251" s="112"/>
      <c r="N251" s="112"/>
      <c r="O251" s="670">
        <v>6405</v>
      </c>
      <c r="P251" s="670">
        <v>6405</v>
      </c>
      <c r="Q251" s="67">
        <v>6405</v>
      </c>
      <c r="R251" s="67">
        <v>6405</v>
      </c>
      <c r="S251" s="67">
        <v>27971.58</v>
      </c>
      <c r="T251" s="115"/>
      <c r="U251" s="115"/>
      <c r="V251" s="114">
        <v>27971.58</v>
      </c>
      <c r="W251" s="114">
        <v>23561.58</v>
      </c>
      <c r="X251" s="115"/>
      <c r="Y251" s="115"/>
      <c r="Z251" s="114">
        <v>13780.16</v>
      </c>
    </row>
    <row r="252" spans="2:26" ht="15">
      <c r="B252" s="60" t="s">
        <v>120</v>
      </c>
      <c r="C252" s="60"/>
      <c r="D252" s="60"/>
      <c r="E252" s="60"/>
      <c r="F252" s="60"/>
      <c r="G252" s="60"/>
      <c r="H252" s="61">
        <v>13050</v>
      </c>
      <c r="I252" s="61"/>
      <c r="J252" s="61"/>
      <c r="K252" s="112"/>
      <c r="L252" s="112"/>
      <c r="M252" s="112"/>
      <c r="N252" s="112"/>
      <c r="O252" s="649"/>
      <c r="P252" s="649"/>
      <c r="Q252" s="128"/>
      <c r="R252" s="112"/>
      <c r="S252" s="67">
        <v>13050</v>
      </c>
      <c r="T252" s="115"/>
      <c r="U252" s="115"/>
      <c r="V252" s="114">
        <v>13050</v>
      </c>
      <c r="W252" s="114">
        <v>13050</v>
      </c>
      <c r="X252" s="115"/>
      <c r="Y252" s="115"/>
      <c r="Z252" s="114">
        <v>13050</v>
      </c>
    </row>
    <row r="253" spans="2:26" ht="15">
      <c r="B253" s="60" t="s">
        <v>481</v>
      </c>
      <c r="C253" s="60"/>
      <c r="D253" s="60"/>
      <c r="E253" s="60"/>
      <c r="F253" s="60"/>
      <c r="G253" s="60"/>
      <c r="H253" s="61">
        <v>11280</v>
      </c>
      <c r="I253" s="61"/>
      <c r="J253" s="61"/>
      <c r="K253" s="112"/>
      <c r="L253" s="112"/>
      <c r="M253" s="112"/>
      <c r="N253" s="112"/>
      <c r="O253" s="670">
        <v>20394.99</v>
      </c>
      <c r="P253" s="670">
        <v>9595</v>
      </c>
      <c r="Q253" s="128"/>
      <c r="R253" s="112"/>
      <c r="S253" s="67">
        <v>11280</v>
      </c>
      <c r="T253" s="115"/>
      <c r="U253" s="115"/>
      <c r="V253" s="114">
        <v>11280</v>
      </c>
      <c r="W253" s="114">
        <v>11280</v>
      </c>
      <c r="X253" s="115"/>
      <c r="Y253" s="115"/>
      <c r="Z253" s="114">
        <v>11280</v>
      </c>
    </row>
    <row r="254" spans="2:26" ht="15">
      <c r="B254" s="60" t="s">
        <v>482</v>
      </c>
      <c r="C254" s="60"/>
      <c r="D254" s="60"/>
      <c r="E254" s="60"/>
      <c r="F254" s="60"/>
      <c r="G254" s="60"/>
      <c r="H254" s="61">
        <v>1500</v>
      </c>
      <c r="I254" s="61"/>
      <c r="J254" s="61"/>
      <c r="K254" s="112"/>
      <c r="L254" s="112"/>
      <c r="M254" s="112"/>
      <c r="N254" s="112"/>
      <c r="O254" s="670">
        <v>14590.01</v>
      </c>
      <c r="P254" s="670">
        <v>14590.01</v>
      </c>
      <c r="Q254" s="67">
        <v>7995</v>
      </c>
      <c r="R254" s="67">
        <v>7995</v>
      </c>
      <c r="S254" s="67">
        <v>1500</v>
      </c>
      <c r="T254" s="115"/>
      <c r="U254" s="115"/>
      <c r="V254" s="114">
        <v>1500</v>
      </c>
      <c r="W254" s="114">
        <v>1500</v>
      </c>
      <c r="X254" s="115"/>
      <c r="Y254" s="115"/>
      <c r="Z254" s="114">
        <v>1500</v>
      </c>
    </row>
    <row r="255" spans="2:51" s="168" customFormat="1" ht="15">
      <c r="B255" s="60" t="s">
        <v>840</v>
      </c>
      <c r="C255" s="60"/>
      <c r="D255" s="60"/>
      <c r="E255" s="60"/>
      <c r="F255" s="60"/>
      <c r="G255" s="60"/>
      <c r="H255" s="61"/>
      <c r="I255" s="61"/>
      <c r="J255" s="61"/>
      <c r="K255" s="128"/>
      <c r="L255" s="128"/>
      <c r="M255" s="128"/>
      <c r="N255" s="128"/>
      <c r="O255" s="670">
        <v>27667.07</v>
      </c>
      <c r="P255" s="670">
        <v>27667.07</v>
      </c>
      <c r="Q255" s="67"/>
      <c r="R255" s="67"/>
      <c r="S255" s="67"/>
      <c r="T255" s="115"/>
      <c r="U255" s="115"/>
      <c r="V255" s="114"/>
      <c r="W255" s="114"/>
      <c r="X255" s="115"/>
      <c r="Y255" s="115"/>
      <c r="Z255" s="114"/>
      <c r="AA255" s="125"/>
      <c r="AB255" s="125"/>
      <c r="AC255" s="125"/>
      <c r="AD255" s="125"/>
      <c r="AE255" s="125"/>
      <c r="AF255" s="125"/>
      <c r="AG255" s="125"/>
      <c r="AM255" s="125"/>
      <c r="AN255" s="332"/>
      <c r="AO255" s="462"/>
      <c r="AP255" s="462"/>
      <c r="AQ255" s="462"/>
      <c r="AR255" s="462"/>
      <c r="AS255" s="462"/>
      <c r="AT255" s="462"/>
      <c r="AU255" s="462"/>
      <c r="AV255" s="462"/>
      <c r="AW255" s="462"/>
      <c r="AX255" s="462"/>
      <c r="AY255" s="462"/>
    </row>
    <row r="256" spans="2:26" ht="15.75" thickBot="1">
      <c r="B256" s="60" t="s">
        <v>121</v>
      </c>
      <c r="C256" s="60"/>
      <c r="D256" s="60"/>
      <c r="E256" s="60"/>
      <c r="F256" s="60"/>
      <c r="G256" s="60"/>
      <c r="H256" s="63">
        <v>196523.15</v>
      </c>
      <c r="I256" s="62"/>
      <c r="J256" s="62"/>
      <c r="K256" s="112"/>
      <c r="L256" s="112"/>
      <c r="M256" s="112"/>
      <c r="N256" s="112"/>
      <c r="O256" s="671">
        <v>9772</v>
      </c>
      <c r="P256" s="671">
        <v>9772</v>
      </c>
      <c r="Q256" s="68">
        <v>9772</v>
      </c>
      <c r="R256" s="68">
        <v>9772</v>
      </c>
      <c r="S256" s="68">
        <v>196523.15</v>
      </c>
      <c r="T256" s="115"/>
      <c r="U256" s="115"/>
      <c r="V256" s="284">
        <v>196523.15</v>
      </c>
      <c r="W256" s="284">
        <v>196523.15</v>
      </c>
      <c r="X256" s="115"/>
      <c r="Y256" s="115"/>
      <c r="Z256" s="284">
        <v>196523.15</v>
      </c>
    </row>
    <row r="257" spans="2:40" ht="15">
      <c r="B257" s="60"/>
      <c r="C257" s="60"/>
      <c r="D257" s="60"/>
      <c r="E257" s="60"/>
      <c r="F257" s="60"/>
      <c r="G257" s="60"/>
      <c r="H257" s="69">
        <f>SUM(H247:H256)</f>
        <v>1438772.2599999998</v>
      </c>
      <c r="I257" s="69"/>
      <c r="J257" s="69"/>
      <c r="K257" s="112"/>
      <c r="L257" s="112"/>
      <c r="M257" s="112"/>
      <c r="N257" s="112"/>
      <c r="O257" s="673">
        <f>SUM(O247:O256)</f>
        <v>1423590.62</v>
      </c>
      <c r="P257" s="673">
        <f>SUM(P247:P256)</f>
        <v>1128275.08</v>
      </c>
      <c r="Q257" s="209">
        <f>SUM(Q247:Q256)</f>
        <v>1067900.3599999999</v>
      </c>
      <c r="R257" s="209">
        <f>SUM(R247:R256)</f>
        <v>1067900.3599999999</v>
      </c>
      <c r="S257" s="209">
        <f>SUM(S247:S256)</f>
        <v>1741608.28</v>
      </c>
      <c r="T257" s="115"/>
      <c r="U257" s="115"/>
      <c r="V257" s="305">
        <f>SUM(V247:V256)</f>
        <v>1710837.41</v>
      </c>
      <c r="W257" s="305">
        <f>SUM(W247:W256)</f>
        <v>1706427.41</v>
      </c>
      <c r="X257" s="115"/>
      <c r="Y257" s="115"/>
      <c r="Z257" s="305">
        <f>SUM(Z247:Z256)</f>
        <v>1471812.2599999998</v>
      </c>
      <c r="AN257" s="475">
        <f>+P257-Q257</f>
        <v>60374.720000000205</v>
      </c>
    </row>
    <row r="258" spans="2:26" ht="15">
      <c r="B258" s="60" t="s">
        <v>26</v>
      </c>
      <c r="C258" s="60"/>
      <c r="D258" s="60"/>
      <c r="E258" s="183"/>
      <c r="F258" s="60"/>
      <c r="G258" s="60"/>
      <c r="H258" s="61"/>
      <c r="I258" s="61"/>
      <c r="J258" s="61"/>
      <c r="K258" s="112"/>
      <c r="L258" s="112"/>
      <c r="M258" s="112"/>
      <c r="N258" s="112"/>
      <c r="O258" s="649"/>
      <c r="P258" s="649"/>
      <c r="Q258" s="128"/>
      <c r="R258" s="112"/>
      <c r="S258" s="112"/>
      <c r="T258" s="115"/>
      <c r="U258" s="115"/>
      <c r="V258" s="115"/>
      <c r="W258" s="114"/>
      <c r="X258" s="115"/>
      <c r="Y258" s="115"/>
      <c r="Z258" s="114"/>
    </row>
    <row r="259" spans="2:26" ht="15.75" thickBot="1">
      <c r="B259" s="60" t="s">
        <v>122</v>
      </c>
      <c r="C259" s="60"/>
      <c r="D259" s="60"/>
      <c r="E259" s="69"/>
      <c r="F259" s="60"/>
      <c r="G259" s="60"/>
      <c r="H259" s="63">
        <v>1306963.61</v>
      </c>
      <c r="I259" s="62"/>
      <c r="J259" s="62"/>
      <c r="K259" s="112"/>
      <c r="L259" s="112"/>
      <c r="M259" s="112"/>
      <c r="N259" s="112"/>
      <c r="O259" s="657">
        <f>+'Depreciación Acumulada'!E52</f>
        <v>1128603.64</v>
      </c>
      <c r="P259" s="657">
        <f>+'Depreciación Acumulada'!F52</f>
        <v>1069076.3199999998</v>
      </c>
      <c r="Q259" s="86">
        <f>+'Depreciación Acumulada'!G52</f>
        <v>1052937.16</v>
      </c>
      <c r="R259" s="86">
        <f>+'Depreciación Acumulada'!H52</f>
        <v>1062776.68</v>
      </c>
      <c r="S259" s="86">
        <f>+'Depreciación Acumulada'!I52</f>
        <v>1510787.0899999999</v>
      </c>
      <c r="T259" s="115"/>
      <c r="U259" s="115"/>
      <c r="V259" s="284">
        <v>1434403.49</v>
      </c>
      <c r="W259" s="284">
        <v>1358019.89</v>
      </c>
      <c r="X259" s="115"/>
      <c r="Y259" s="115"/>
      <c r="Z259" s="284">
        <v>1322569.36</v>
      </c>
    </row>
    <row r="260" spans="2:26" ht="18">
      <c r="B260" s="109" t="s">
        <v>123</v>
      </c>
      <c r="C260" s="60"/>
      <c r="D260" s="60"/>
      <c r="E260" s="60"/>
      <c r="F260" s="60"/>
      <c r="G260" s="60"/>
      <c r="H260" s="69">
        <f>+H257-H259</f>
        <v>131808.64999999967</v>
      </c>
      <c r="I260" s="69"/>
      <c r="J260" s="69"/>
      <c r="K260" s="112"/>
      <c r="L260" s="112"/>
      <c r="M260" s="112"/>
      <c r="N260" s="112"/>
      <c r="O260" s="673">
        <f>+O257-O259</f>
        <v>294986.9800000002</v>
      </c>
      <c r="P260" s="673">
        <f>+P257-P259</f>
        <v>59198.76000000024</v>
      </c>
      <c r="Q260" s="209">
        <f>+Q257-Q259</f>
        <v>14963.199999999953</v>
      </c>
      <c r="R260" s="209">
        <f>+R257-R259</f>
        <v>5123.679999999935</v>
      </c>
      <c r="S260" s="210">
        <f>+S257-S259</f>
        <v>230821.19000000018</v>
      </c>
      <c r="T260" s="115"/>
      <c r="U260" s="115"/>
      <c r="V260" s="306">
        <f>+V257-V259</f>
        <v>276433.9199999999</v>
      </c>
      <c r="W260" s="306">
        <f>+W257-W259</f>
        <v>348407.52</v>
      </c>
      <c r="X260" s="115"/>
      <c r="Y260" s="115"/>
      <c r="Z260" s="306">
        <f>+Z257-Z259</f>
        <v>149242.89999999967</v>
      </c>
    </row>
    <row r="261" spans="2:26" ht="15">
      <c r="B261" s="72"/>
      <c r="C261" s="12"/>
      <c r="D261" s="12"/>
      <c r="E261" s="12"/>
      <c r="F261" s="12"/>
      <c r="G261" s="12"/>
      <c r="H261" s="10"/>
      <c r="I261" s="10"/>
      <c r="J261" s="10"/>
      <c r="Q261" s="217" t="s">
        <v>642</v>
      </c>
      <c r="W261" s="286"/>
      <c r="Z261" s="286"/>
    </row>
    <row r="262" spans="2:26" ht="14.25">
      <c r="B262" s="12"/>
      <c r="C262" s="12"/>
      <c r="D262" s="12"/>
      <c r="E262" s="12"/>
      <c r="F262" s="12"/>
      <c r="G262" s="12"/>
      <c r="H262" s="6"/>
      <c r="I262" s="6"/>
      <c r="J262" s="6"/>
      <c r="Q262" s="217"/>
      <c r="R262" s="217"/>
      <c r="S262" s="217"/>
      <c r="Z262" s="286"/>
    </row>
    <row r="263" spans="2:51" s="456" customFormat="1" ht="14.25">
      <c r="B263" s="12"/>
      <c r="C263" s="12"/>
      <c r="D263" s="12"/>
      <c r="E263" s="12"/>
      <c r="F263" s="12"/>
      <c r="G263" s="12"/>
      <c r="H263" s="6"/>
      <c r="I263" s="6"/>
      <c r="J263" s="6"/>
      <c r="Q263" s="530"/>
      <c r="R263" s="530"/>
      <c r="S263" s="530"/>
      <c r="T263" s="462"/>
      <c r="U263" s="462"/>
      <c r="V263" s="462"/>
      <c r="W263" s="462"/>
      <c r="X263" s="462"/>
      <c r="Y263" s="462"/>
      <c r="Z263" s="286"/>
      <c r="AA263" s="462"/>
      <c r="AB263" s="462"/>
      <c r="AC263" s="462"/>
      <c r="AD263" s="462"/>
      <c r="AE263" s="462"/>
      <c r="AF263" s="462"/>
      <c r="AG263" s="462"/>
      <c r="AM263" s="462"/>
      <c r="AN263" s="332"/>
      <c r="AO263" s="462"/>
      <c r="AP263" s="462"/>
      <c r="AQ263" s="462"/>
      <c r="AR263" s="462"/>
      <c r="AS263" s="462"/>
      <c r="AT263" s="462"/>
      <c r="AU263" s="462"/>
      <c r="AV263" s="462"/>
      <c r="AW263" s="462"/>
      <c r="AX263" s="462"/>
      <c r="AY263" s="462"/>
    </row>
    <row r="264" spans="2:26" ht="18">
      <c r="B264" s="109" t="s">
        <v>124</v>
      </c>
      <c r="C264" s="12"/>
      <c r="D264" s="12"/>
      <c r="E264" s="12"/>
      <c r="F264" s="12"/>
      <c r="G264" s="12"/>
      <c r="H264" s="6"/>
      <c r="I264" s="6"/>
      <c r="J264" s="6"/>
      <c r="O264" s="32">
        <v>2023</v>
      </c>
      <c r="P264" s="32">
        <v>2022</v>
      </c>
      <c r="Q264" s="110">
        <v>2021</v>
      </c>
      <c r="R264" s="110">
        <v>2020</v>
      </c>
      <c r="S264" s="110">
        <v>2019</v>
      </c>
      <c r="V264" s="277">
        <v>2018</v>
      </c>
      <c r="W264" s="295">
        <v>2017</v>
      </c>
      <c r="X264" s="300"/>
      <c r="Y264" s="300"/>
      <c r="Z264" s="295">
        <v>2016</v>
      </c>
    </row>
    <row r="265" spans="2:26" ht="15">
      <c r="B265" s="60" t="s">
        <v>29</v>
      </c>
      <c r="C265" s="60"/>
      <c r="D265" s="60"/>
      <c r="E265" s="60"/>
      <c r="F265" s="60"/>
      <c r="G265" s="60"/>
      <c r="H265" s="61">
        <v>193259.18</v>
      </c>
      <c r="I265" s="61"/>
      <c r="J265" s="61"/>
      <c r="K265" s="112"/>
      <c r="L265" s="112"/>
      <c r="M265" s="112"/>
      <c r="N265" s="112"/>
      <c r="O265" s="670">
        <v>384864.74</v>
      </c>
      <c r="P265" s="670">
        <v>366284.46</v>
      </c>
      <c r="Q265" s="67">
        <v>366284.46</v>
      </c>
      <c r="R265" s="67">
        <v>194196.98</v>
      </c>
      <c r="S265" s="67">
        <v>242813.85</v>
      </c>
      <c r="T265" s="115"/>
      <c r="U265" s="115"/>
      <c r="V265" s="114">
        <v>193259.18</v>
      </c>
      <c r="W265" s="114">
        <v>193259.18</v>
      </c>
      <c r="X265" s="115"/>
      <c r="Y265" s="115"/>
      <c r="Z265" s="114">
        <v>193259.18</v>
      </c>
    </row>
    <row r="266" spans="2:51" s="456" customFormat="1" ht="15">
      <c r="B266" s="60" t="s">
        <v>271</v>
      </c>
      <c r="C266" s="60"/>
      <c r="D266" s="60"/>
      <c r="E266" s="60"/>
      <c r="F266" s="60"/>
      <c r="G266" s="60"/>
      <c r="H266" s="61"/>
      <c r="I266" s="61"/>
      <c r="J266" s="61"/>
      <c r="K266" s="461"/>
      <c r="L266" s="461"/>
      <c r="M266" s="461"/>
      <c r="N266" s="461"/>
      <c r="O266" s="670">
        <v>16284</v>
      </c>
      <c r="P266" s="670"/>
      <c r="Q266" s="67"/>
      <c r="R266" s="67"/>
      <c r="S266" s="67"/>
      <c r="T266" s="115"/>
      <c r="U266" s="115"/>
      <c r="V266" s="114"/>
      <c r="W266" s="114"/>
      <c r="X266" s="115"/>
      <c r="Y266" s="115"/>
      <c r="Z266" s="114"/>
      <c r="AA266" s="462"/>
      <c r="AB266" s="462"/>
      <c r="AC266" s="462"/>
      <c r="AD266" s="462"/>
      <c r="AE266" s="462"/>
      <c r="AF266" s="462"/>
      <c r="AG266" s="462"/>
      <c r="AM266" s="462"/>
      <c r="AN266" s="332"/>
      <c r="AO266" s="462"/>
      <c r="AP266" s="462"/>
      <c r="AQ266" s="462"/>
      <c r="AR266" s="462"/>
      <c r="AS266" s="462"/>
      <c r="AT266" s="462"/>
      <c r="AU266" s="462"/>
      <c r="AV266" s="462"/>
      <c r="AW266" s="462"/>
      <c r="AX266" s="462"/>
      <c r="AY266" s="462"/>
    </row>
    <row r="267" spans="2:51" s="168" customFormat="1" ht="15">
      <c r="B267" s="60" t="s">
        <v>32</v>
      </c>
      <c r="C267" s="60"/>
      <c r="D267" s="60"/>
      <c r="E267" s="60"/>
      <c r="F267" s="60"/>
      <c r="G267" s="60"/>
      <c r="H267" s="61"/>
      <c r="I267" s="61"/>
      <c r="J267" s="61"/>
      <c r="K267" s="128"/>
      <c r="L267" s="128"/>
      <c r="M267" s="128"/>
      <c r="N267" s="128"/>
      <c r="O267" s="670">
        <v>128353.58</v>
      </c>
      <c r="P267" s="670">
        <v>128353.58</v>
      </c>
      <c r="Q267" s="67">
        <v>128353.58</v>
      </c>
      <c r="R267" s="67"/>
      <c r="S267" s="67"/>
      <c r="T267" s="115"/>
      <c r="U267" s="115"/>
      <c r="V267" s="114"/>
      <c r="W267" s="114"/>
      <c r="X267" s="115"/>
      <c r="Y267" s="115"/>
      <c r="Z267" s="114"/>
      <c r="AA267" s="125"/>
      <c r="AB267" s="125"/>
      <c r="AC267" s="125"/>
      <c r="AD267" s="125"/>
      <c r="AE267" s="125"/>
      <c r="AF267" s="125"/>
      <c r="AG267" s="125"/>
      <c r="AM267" s="125"/>
      <c r="AN267" s="332"/>
      <c r="AO267" s="462"/>
      <c r="AP267" s="462"/>
      <c r="AQ267" s="462"/>
      <c r="AR267" s="462"/>
      <c r="AS267" s="462"/>
      <c r="AT267" s="462"/>
      <c r="AU267" s="462"/>
      <c r="AV267" s="462"/>
      <c r="AW267" s="462"/>
      <c r="AX267" s="462"/>
      <c r="AY267" s="462"/>
    </row>
    <row r="268" spans="2:26" ht="15" hidden="1">
      <c r="B268" s="60" t="s">
        <v>271</v>
      </c>
      <c r="C268" s="60"/>
      <c r="D268" s="60"/>
      <c r="E268" s="60"/>
      <c r="F268" s="60"/>
      <c r="G268" s="60"/>
      <c r="H268" s="61">
        <v>13033.57</v>
      </c>
      <c r="I268" s="61"/>
      <c r="J268" s="61"/>
      <c r="K268" s="112"/>
      <c r="L268" s="112"/>
      <c r="M268" s="112"/>
      <c r="N268" s="112"/>
      <c r="O268" s="670"/>
      <c r="P268" s="670"/>
      <c r="Q268" s="67"/>
      <c r="R268" s="67"/>
      <c r="S268" s="67">
        <v>13033.57</v>
      </c>
      <c r="T268" s="115"/>
      <c r="U268" s="115"/>
      <c r="V268" s="114">
        <v>13033.57</v>
      </c>
      <c r="W268" s="114">
        <v>13033.57</v>
      </c>
      <c r="X268" s="115"/>
      <c r="Y268" s="115"/>
      <c r="Z268" s="114">
        <v>13033.57</v>
      </c>
    </row>
    <row r="269" spans="2:26" ht="15" hidden="1">
      <c r="B269" s="60" t="s">
        <v>119</v>
      </c>
      <c r="C269" s="60"/>
      <c r="D269" s="60"/>
      <c r="E269" s="60"/>
      <c r="F269" s="60"/>
      <c r="G269" s="60"/>
      <c r="H269" s="61">
        <v>0</v>
      </c>
      <c r="I269" s="61"/>
      <c r="J269" s="61"/>
      <c r="K269" s="112"/>
      <c r="L269" s="112"/>
      <c r="M269" s="112"/>
      <c r="N269" s="112"/>
      <c r="O269" s="670"/>
      <c r="P269" s="670"/>
      <c r="Q269" s="67"/>
      <c r="R269" s="67"/>
      <c r="S269" s="67"/>
      <c r="T269" s="115"/>
      <c r="U269" s="115"/>
      <c r="V269" s="114"/>
      <c r="W269" s="114"/>
      <c r="X269" s="115"/>
      <c r="Y269" s="115"/>
      <c r="Z269" s="114"/>
    </row>
    <row r="270" spans="2:26" ht="15" hidden="1">
      <c r="B270" s="60" t="s">
        <v>31</v>
      </c>
      <c r="C270" s="60"/>
      <c r="D270" s="60"/>
      <c r="E270" s="60"/>
      <c r="F270" s="60"/>
      <c r="G270" s="60"/>
      <c r="H270" s="61">
        <v>0</v>
      </c>
      <c r="I270" s="61"/>
      <c r="J270" s="61"/>
      <c r="K270" s="112"/>
      <c r="L270" s="112"/>
      <c r="M270" s="112"/>
      <c r="N270" s="112"/>
      <c r="O270" s="670"/>
      <c r="P270" s="670"/>
      <c r="Q270" s="67"/>
      <c r="R270" s="67"/>
      <c r="S270" s="67"/>
      <c r="T270" s="115"/>
      <c r="U270" s="115"/>
      <c r="V270" s="114"/>
      <c r="W270" s="114"/>
      <c r="X270" s="115"/>
      <c r="Y270" s="115"/>
      <c r="Z270" s="114"/>
    </row>
    <row r="271" spans="2:26" ht="15" hidden="1">
      <c r="B271" s="60" t="s">
        <v>32</v>
      </c>
      <c r="C271" s="60"/>
      <c r="D271" s="60"/>
      <c r="E271" s="60"/>
      <c r="F271" s="60"/>
      <c r="G271" s="60"/>
      <c r="H271" s="61">
        <v>0</v>
      </c>
      <c r="I271" s="61"/>
      <c r="J271" s="61"/>
      <c r="K271" s="112"/>
      <c r="L271" s="112"/>
      <c r="M271" s="112"/>
      <c r="N271" s="112"/>
      <c r="O271" s="670"/>
      <c r="P271" s="670"/>
      <c r="Q271" s="67"/>
      <c r="R271" s="67"/>
      <c r="S271" s="67"/>
      <c r="T271" s="115"/>
      <c r="U271" s="115"/>
      <c r="V271" s="114"/>
      <c r="W271" s="114"/>
      <c r="X271" s="115"/>
      <c r="Y271" s="115"/>
      <c r="Z271" s="114"/>
    </row>
    <row r="272" spans="2:26" ht="15">
      <c r="B272" s="60" t="s">
        <v>437</v>
      </c>
      <c r="C272" s="60"/>
      <c r="D272" s="60"/>
      <c r="E272" s="60"/>
      <c r="F272" s="60"/>
      <c r="G272" s="60"/>
      <c r="H272" s="61">
        <v>2755</v>
      </c>
      <c r="I272" s="61"/>
      <c r="J272" s="61"/>
      <c r="K272" s="112"/>
      <c r="L272" s="112"/>
      <c r="M272" s="112"/>
      <c r="N272" s="112"/>
      <c r="O272" s="670">
        <v>8735.34</v>
      </c>
      <c r="P272" s="670">
        <v>2755</v>
      </c>
      <c r="Q272" s="67">
        <v>2755</v>
      </c>
      <c r="R272" s="67">
        <v>2755</v>
      </c>
      <c r="S272" s="67">
        <v>2755</v>
      </c>
      <c r="T272" s="115"/>
      <c r="U272" s="115"/>
      <c r="V272" s="114">
        <v>2755</v>
      </c>
      <c r="W272" s="114">
        <v>2755</v>
      </c>
      <c r="X272" s="115"/>
      <c r="Y272" s="115"/>
      <c r="Z272" s="114">
        <v>2755</v>
      </c>
    </row>
    <row r="273" spans="2:26" ht="15" hidden="1">
      <c r="B273" s="60" t="s">
        <v>120</v>
      </c>
      <c r="C273" s="60"/>
      <c r="D273" s="60"/>
      <c r="E273" s="60"/>
      <c r="F273" s="60"/>
      <c r="G273" s="60"/>
      <c r="H273" s="61">
        <v>0</v>
      </c>
      <c r="I273" s="61"/>
      <c r="J273" s="61"/>
      <c r="K273" s="112"/>
      <c r="L273" s="112"/>
      <c r="M273" s="112"/>
      <c r="N273" s="112"/>
      <c r="O273" s="674"/>
      <c r="P273" s="674"/>
      <c r="Q273" s="140"/>
      <c r="R273" s="140"/>
      <c r="S273" s="140"/>
      <c r="T273" s="115"/>
      <c r="U273" s="115"/>
      <c r="V273" s="114"/>
      <c r="W273" s="114"/>
      <c r="X273" s="115"/>
      <c r="Y273" s="115"/>
      <c r="Z273" s="114"/>
    </row>
    <row r="274" spans="2:26" ht="15" hidden="1">
      <c r="B274" s="60" t="s">
        <v>484</v>
      </c>
      <c r="C274" s="60"/>
      <c r="D274" s="60"/>
      <c r="E274" s="60"/>
      <c r="F274" s="60"/>
      <c r="G274" s="60"/>
      <c r="H274" s="61">
        <v>15495</v>
      </c>
      <c r="I274" s="61"/>
      <c r="J274" s="61"/>
      <c r="K274" s="112"/>
      <c r="L274" s="112"/>
      <c r="M274" s="112"/>
      <c r="N274" s="112"/>
      <c r="O274" s="670"/>
      <c r="P274" s="670"/>
      <c r="Q274" s="67"/>
      <c r="R274" s="67"/>
      <c r="S274" s="67">
        <v>15495</v>
      </c>
      <c r="T274" s="115"/>
      <c r="U274" s="115"/>
      <c r="V274" s="114">
        <v>15495</v>
      </c>
      <c r="W274" s="114">
        <v>15495</v>
      </c>
      <c r="X274" s="115"/>
      <c r="Y274" s="115"/>
      <c r="Z274" s="114">
        <v>15495</v>
      </c>
    </row>
    <row r="275" spans="2:26" ht="15">
      <c r="B275" s="60" t="s">
        <v>483</v>
      </c>
      <c r="C275" s="60"/>
      <c r="D275" s="60"/>
      <c r="E275" s="60"/>
      <c r="F275" s="60"/>
      <c r="G275" s="60"/>
      <c r="H275" s="61">
        <v>4995</v>
      </c>
      <c r="I275" s="61"/>
      <c r="J275" s="61"/>
      <c r="K275" s="112"/>
      <c r="L275" s="112"/>
      <c r="M275" s="112"/>
      <c r="N275" s="112"/>
      <c r="O275" s="670">
        <v>4995</v>
      </c>
      <c r="P275" s="670">
        <v>4995</v>
      </c>
      <c r="Q275" s="67">
        <v>4995</v>
      </c>
      <c r="R275" s="67">
        <v>4995</v>
      </c>
      <c r="S275" s="67">
        <v>4995</v>
      </c>
      <c r="T275" s="115"/>
      <c r="U275" s="115"/>
      <c r="V275" s="114">
        <v>4995</v>
      </c>
      <c r="W275" s="114">
        <v>4995</v>
      </c>
      <c r="X275" s="115"/>
      <c r="Y275" s="115"/>
      <c r="Z275" s="114">
        <v>4995</v>
      </c>
    </row>
    <row r="276" spans="2:26" ht="18" thickBot="1">
      <c r="B276" s="131" t="s">
        <v>121</v>
      </c>
      <c r="C276" s="60"/>
      <c r="D276" s="60"/>
      <c r="E276" s="60"/>
      <c r="F276" s="60"/>
      <c r="G276" s="60"/>
      <c r="H276" s="63">
        <v>35453.4</v>
      </c>
      <c r="I276" s="61"/>
      <c r="J276" s="61"/>
      <c r="K276" s="112"/>
      <c r="L276" s="112"/>
      <c r="M276" s="112"/>
      <c r="N276" s="112"/>
      <c r="O276" s="671">
        <v>53864.79</v>
      </c>
      <c r="P276" s="671">
        <v>4708.35</v>
      </c>
      <c r="Q276" s="68">
        <v>4708.35</v>
      </c>
      <c r="R276" s="68">
        <v>4708.35</v>
      </c>
      <c r="S276" s="68">
        <f>35453.4+7056.4</f>
        <v>42509.8</v>
      </c>
      <c r="T276" s="115"/>
      <c r="U276" s="115"/>
      <c r="V276" s="284">
        <f>35453.4+7056.4</f>
        <v>42509.8</v>
      </c>
      <c r="W276" s="284">
        <v>35453.4</v>
      </c>
      <c r="X276" s="115"/>
      <c r="Y276" s="115"/>
      <c r="Z276" s="284">
        <v>35453.4</v>
      </c>
    </row>
    <row r="277" spans="2:40" ht="15">
      <c r="B277" s="60"/>
      <c r="C277" s="60"/>
      <c r="D277" s="60"/>
      <c r="E277" s="60"/>
      <c r="F277" s="60"/>
      <c r="G277" s="60"/>
      <c r="H277" s="69">
        <f>SUM(H265:H276)</f>
        <v>264991.15</v>
      </c>
      <c r="I277" s="61"/>
      <c r="J277" s="61"/>
      <c r="K277" s="112"/>
      <c r="L277" s="112"/>
      <c r="M277" s="112"/>
      <c r="N277" s="112"/>
      <c r="O277" s="650">
        <f>SUM(O265:O276)</f>
        <v>597097.45</v>
      </c>
      <c r="P277" s="650">
        <f>SUM(P265:P276)</f>
        <v>507096.39</v>
      </c>
      <c r="Q277" s="123">
        <f>SUM(Q265:Q276)</f>
        <v>507096.39</v>
      </c>
      <c r="R277" s="123">
        <f>SUM(R265:R276)</f>
        <v>206655.33000000002</v>
      </c>
      <c r="S277" s="123">
        <f>SUM(S265:S276)</f>
        <v>321602.22000000003</v>
      </c>
      <c r="T277" s="115"/>
      <c r="U277" s="115"/>
      <c r="V277" s="124">
        <f>SUM(V265:V276)</f>
        <v>272047.55</v>
      </c>
      <c r="W277" s="124">
        <f>SUM(W265:W276)</f>
        <v>264991.15</v>
      </c>
      <c r="X277" s="115"/>
      <c r="Y277" s="115"/>
      <c r="Z277" s="124">
        <f>SUM(Z265:Z276)</f>
        <v>264991.15</v>
      </c>
      <c r="AN277" s="449">
        <f>+P277-Q277</f>
        <v>0</v>
      </c>
    </row>
    <row r="278" spans="2:26" ht="15">
      <c r="B278" s="60" t="s">
        <v>26</v>
      </c>
      <c r="C278" s="60"/>
      <c r="D278" s="60"/>
      <c r="E278" s="60"/>
      <c r="F278" s="60"/>
      <c r="G278" s="60"/>
      <c r="H278" s="61"/>
      <c r="I278" s="61"/>
      <c r="J278" s="61"/>
      <c r="K278" s="112"/>
      <c r="L278" s="112"/>
      <c r="M278" s="112"/>
      <c r="N278" s="112"/>
      <c r="O278" s="649"/>
      <c r="P278" s="649"/>
      <c r="Q278" s="128"/>
      <c r="R278" s="112"/>
      <c r="S278" s="112"/>
      <c r="T278" s="115"/>
      <c r="U278" s="115"/>
      <c r="V278" s="115"/>
      <c r="W278" s="114"/>
      <c r="X278" s="115"/>
      <c r="Y278" s="115"/>
      <c r="Z278" s="114"/>
    </row>
    <row r="279" spans="2:26" ht="15.75" thickBot="1">
      <c r="B279" s="60" t="s">
        <v>122</v>
      </c>
      <c r="C279" s="60"/>
      <c r="D279" s="60"/>
      <c r="E279" s="60"/>
      <c r="F279" s="60"/>
      <c r="G279" s="60"/>
      <c r="H279" s="63">
        <v>229482.25</v>
      </c>
      <c r="I279" s="61"/>
      <c r="J279" s="61"/>
      <c r="K279" s="112"/>
      <c r="L279" s="112"/>
      <c r="M279" s="112"/>
      <c r="N279" s="112"/>
      <c r="O279" s="657">
        <f>+'Depreciación Acumulada'!E68</f>
        <v>223648.91999999998</v>
      </c>
      <c r="P279" s="657">
        <f>+'Depreciación Acumulada'!F68</f>
        <v>184666.74</v>
      </c>
      <c r="Q279" s="86">
        <f>+'Depreciación Acumulada'!G68</f>
        <v>151976.58</v>
      </c>
      <c r="R279" s="86">
        <f>+'Depreciación Acumulada'!H68</f>
        <v>146825.8</v>
      </c>
      <c r="S279" s="86">
        <f>+'Depreciación Acumulada'!I68</f>
        <v>270092.22</v>
      </c>
      <c r="T279" s="115"/>
      <c r="U279" s="115"/>
      <c r="V279" s="284">
        <v>266538.32</v>
      </c>
      <c r="W279" s="284">
        <v>262984.5</v>
      </c>
      <c r="X279" s="115"/>
      <c r="Y279" s="115"/>
      <c r="Z279" s="284">
        <v>256976.35</v>
      </c>
    </row>
    <row r="280" spans="2:26" ht="18">
      <c r="B280" s="109" t="s">
        <v>123</v>
      </c>
      <c r="C280" s="60"/>
      <c r="D280" s="60"/>
      <c r="E280" s="60"/>
      <c r="F280" s="60"/>
      <c r="G280" s="60"/>
      <c r="H280" s="69">
        <f>+H277-H279</f>
        <v>35508.90000000002</v>
      </c>
      <c r="I280" s="61"/>
      <c r="J280" s="61"/>
      <c r="K280" s="112"/>
      <c r="L280" s="112"/>
      <c r="M280" s="112"/>
      <c r="N280" s="112"/>
      <c r="O280" s="650">
        <f>+O277-O279</f>
        <v>373448.52999999997</v>
      </c>
      <c r="P280" s="650">
        <f>+P277-P279</f>
        <v>322429.65</v>
      </c>
      <c r="Q280" s="123">
        <f>+Q277-Q279</f>
        <v>355119.81000000006</v>
      </c>
      <c r="R280" s="123">
        <f>+R277-R279</f>
        <v>59829.53000000003</v>
      </c>
      <c r="S280" s="123">
        <f>+S277-S279</f>
        <v>51510.00000000006</v>
      </c>
      <c r="T280" s="115"/>
      <c r="U280" s="115"/>
      <c r="V280" s="124">
        <f>+V277-V279</f>
        <v>5509.229999999981</v>
      </c>
      <c r="W280" s="124">
        <f>+W277-W279</f>
        <v>2006.6500000000233</v>
      </c>
      <c r="X280" s="115"/>
      <c r="Y280" s="115"/>
      <c r="Z280" s="124">
        <f>+Z277-Z279</f>
        <v>8014.8000000000175</v>
      </c>
    </row>
    <row r="281" spans="2:26" ht="18">
      <c r="B281" s="109"/>
      <c r="C281" s="60"/>
      <c r="D281" s="60"/>
      <c r="E281" s="60"/>
      <c r="F281" s="60"/>
      <c r="G281" s="60"/>
      <c r="H281" s="69"/>
      <c r="I281" s="61"/>
      <c r="J281" s="61"/>
      <c r="K281" s="112"/>
      <c r="L281" s="112"/>
      <c r="M281" s="112"/>
      <c r="N281" s="112"/>
      <c r="O281" s="461"/>
      <c r="P281" s="128"/>
      <c r="Q281" s="128"/>
      <c r="R281" s="112"/>
      <c r="S281" s="123"/>
      <c r="T281" s="115"/>
      <c r="U281" s="115"/>
      <c r="V281" s="124"/>
      <c r="W281" s="124"/>
      <c r="X281" s="115"/>
      <c r="Y281" s="115"/>
      <c r="Z281" s="124"/>
    </row>
    <row r="282" spans="2:26" ht="18" customHeight="1">
      <c r="B282" s="72"/>
      <c r="C282" s="60"/>
      <c r="D282" s="60"/>
      <c r="E282" s="60"/>
      <c r="F282" s="60"/>
      <c r="G282" s="60"/>
      <c r="H282" s="69"/>
      <c r="I282" s="61"/>
      <c r="J282" s="61"/>
      <c r="K282" s="112"/>
      <c r="L282" s="112"/>
      <c r="M282" s="112"/>
      <c r="N282" s="112"/>
      <c r="O282" s="32">
        <v>2023</v>
      </c>
      <c r="P282" s="32">
        <v>2022</v>
      </c>
      <c r="Q282" s="110">
        <v>2021</v>
      </c>
      <c r="R282" s="110">
        <v>2020</v>
      </c>
      <c r="S282" s="110">
        <v>2019</v>
      </c>
      <c r="T282" s="115"/>
      <c r="U282" s="115"/>
      <c r="V282" s="124"/>
      <c r="W282" s="124"/>
      <c r="X282" s="115"/>
      <c r="Y282" s="115"/>
      <c r="Z282" s="124"/>
    </row>
    <row r="283" spans="2:26" ht="18" thickBot="1">
      <c r="B283" s="109" t="s">
        <v>606</v>
      </c>
      <c r="C283" s="12"/>
      <c r="D283" s="12"/>
      <c r="E283" s="12"/>
      <c r="F283" s="12"/>
      <c r="G283" s="12"/>
      <c r="H283" s="12"/>
      <c r="I283" s="12"/>
      <c r="J283" s="61"/>
      <c r="K283" s="112"/>
      <c r="L283" s="112"/>
      <c r="M283" s="112"/>
      <c r="N283" s="112"/>
      <c r="O283" s="461"/>
      <c r="P283" s="128"/>
      <c r="Q283" s="128"/>
      <c r="S283" s="68">
        <v>204959.97</v>
      </c>
      <c r="U283" s="115"/>
      <c r="V283" s="307"/>
      <c r="W283" s="124"/>
      <c r="X283" s="115"/>
      <c r="Y283" s="115"/>
      <c r="Z283" s="124"/>
    </row>
    <row r="284" spans="2:26" ht="18" thickBot="1">
      <c r="B284" s="12" t="s">
        <v>29</v>
      </c>
      <c r="C284" s="12"/>
      <c r="D284" s="12"/>
      <c r="E284" s="12"/>
      <c r="F284" s="12"/>
      <c r="G284" s="12"/>
      <c r="H284" s="93">
        <v>204959.97</v>
      </c>
      <c r="I284" s="93"/>
      <c r="J284" s="6"/>
      <c r="O284" s="671">
        <v>98960</v>
      </c>
      <c r="P284" s="671">
        <v>98960</v>
      </c>
      <c r="Q284" s="68">
        <v>98960</v>
      </c>
      <c r="R284" s="68">
        <v>98960</v>
      </c>
      <c r="S284" s="123">
        <f>SUM(S283)</f>
        <v>204959.97</v>
      </c>
      <c r="V284" s="299">
        <f>+V283</f>
        <v>0</v>
      </c>
      <c r="W284" s="295">
        <v>2017</v>
      </c>
      <c r="X284" s="300"/>
      <c r="Y284" s="300"/>
      <c r="Z284" s="295">
        <v>2016</v>
      </c>
    </row>
    <row r="285" spans="2:51" s="168" customFormat="1" ht="18">
      <c r="B285" s="12"/>
      <c r="C285" s="12"/>
      <c r="D285" s="12"/>
      <c r="E285" s="12"/>
      <c r="F285" s="12"/>
      <c r="G285" s="12"/>
      <c r="H285" s="224"/>
      <c r="I285" s="224"/>
      <c r="J285" s="6"/>
      <c r="O285" s="650">
        <f>SUM(O284)</f>
        <v>98960</v>
      </c>
      <c r="P285" s="650">
        <f>SUM(P284)</f>
        <v>98960</v>
      </c>
      <c r="Q285" s="123">
        <f>SUM(Q284)</f>
        <v>98960</v>
      </c>
      <c r="R285" s="123">
        <f>SUM(R284)</f>
        <v>98960</v>
      </c>
      <c r="S285" s="123"/>
      <c r="T285" s="125"/>
      <c r="U285" s="125"/>
      <c r="V285" s="299"/>
      <c r="W285" s="295"/>
      <c r="X285" s="300"/>
      <c r="Y285" s="300"/>
      <c r="Z285" s="295"/>
      <c r="AA285" s="125"/>
      <c r="AB285" s="125"/>
      <c r="AC285" s="125"/>
      <c r="AD285" s="125"/>
      <c r="AE285" s="125"/>
      <c r="AF285" s="125"/>
      <c r="AG285" s="125"/>
      <c r="AM285" s="125"/>
      <c r="AN285" s="449">
        <f>+P285-Q285</f>
        <v>0</v>
      </c>
      <c r="AO285" s="462"/>
      <c r="AP285" s="462"/>
      <c r="AQ285" s="462"/>
      <c r="AR285" s="462"/>
      <c r="AS285" s="462"/>
      <c r="AT285" s="462"/>
      <c r="AU285" s="462"/>
      <c r="AV285" s="462"/>
      <c r="AW285" s="462"/>
      <c r="AX285" s="462"/>
      <c r="AY285" s="462"/>
    </row>
    <row r="286" spans="2:26" ht="15">
      <c r="B286" s="12" t="s">
        <v>26</v>
      </c>
      <c r="C286" s="12"/>
      <c r="D286" s="12"/>
      <c r="E286" s="12"/>
      <c r="F286" s="12"/>
      <c r="G286" s="12"/>
      <c r="H286" s="94">
        <f>SUM(H284)</f>
        <v>204959.97</v>
      </c>
      <c r="I286" s="94">
        <f>+I284</f>
        <v>0</v>
      </c>
      <c r="J286" s="61"/>
      <c r="K286" s="112"/>
      <c r="L286" s="112"/>
      <c r="M286" s="112"/>
      <c r="N286" s="112"/>
      <c r="O286" s="649"/>
      <c r="P286" s="649"/>
      <c r="Q286" s="128"/>
      <c r="S286" s="12"/>
      <c r="U286" s="115"/>
      <c r="V286" s="287"/>
      <c r="W286" s="114">
        <v>193259.18</v>
      </c>
      <c r="X286" s="115"/>
      <c r="Y286" s="115"/>
      <c r="Z286" s="114">
        <v>193259.18</v>
      </c>
    </row>
    <row r="287" spans="2:26" ht="15.75" thickBot="1">
      <c r="B287" s="12" t="s">
        <v>122</v>
      </c>
      <c r="C287" s="12"/>
      <c r="D287" s="12"/>
      <c r="E287" s="12"/>
      <c r="F287" s="12"/>
      <c r="G287" s="12"/>
      <c r="H287" s="12"/>
      <c r="I287" s="12"/>
      <c r="J287" s="61"/>
      <c r="K287" s="112"/>
      <c r="L287" s="112"/>
      <c r="M287" s="112"/>
      <c r="N287" s="112"/>
      <c r="O287" s="671">
        <f>+'Depreciación Acumulada'!E75</f>
        <v>45666.08</v>
      </c>
      <c r="P287" s="671">
        <f>+'Depreciación Acumulada'!F75</f>
        <v>35771.48</v>
      </c>
      <c r="Q287" s="68">
        <f>+'Depreciación Acumulada'!G75</f>
        <v>25876.88</v>
      </c>
      <c r="R287" s="68">
        <f>+'Depreciación Acumulada'!H75</f>
        <v>15982.28</v>
      </c>
      <c r="S287" s="68">
        <f>+'Depreciación Acumulada'!I75</f>
        <v>25620</v>
      </c>
      <c r="U287" s="115"/>
      <c r="V287" s="307"/>
      <c r="W287" s="124">
        <f>SUM(W286:W286)</f>
        <v>193259.18</v>
      </c>
      <c r="X287" s="115"/>
      <c r="Y287" s="115"/>
      <c r="Z287" s="124">
        <f>SUM(Z286:Z286)</f>
        <v>193259.18</v>
      </c>
    </row>
    <row r="288" spans="2:26" ht="18" thickBot="1">
      <c r="B288" s="109" t="s">
        <v>123</v>
      </c>
      <c r="C288" s="12"/>
      <c r="D288" s="12"/>
      <c r="E288" s="12"/>
      <c r="F288" s="12"/>
      <c r="G288" s="12"/>
      <c r="H288" s="93">
        <f>+'[1]Depreciación Acumulada'!B61</f>
        <v>0</v>
      </c>
      <c r="I288" s="93"/>
      <c r="J288" s="61"/>
      <c r="K288" s="112"/>
      <c r="L288" s="112"/>
      <c r="M288" s="112"/>
      <c r="N288" s="112"/>
      <c r="O288" s="650">
        <f>+O285-O287</f>
        <v>53293.92</v>
      </c>
      <c r="P288" s="650">
        <f>+P285-P287</f>
        <v>63188.52</v>
      </c>
      <c r="Q288" s="123">
        <f>+Q285-Q287</f>
        <v>73083.12</v>
      </c>
      <c r="R288" s="123">
        <f>+R285-R287</f>
        <v>82977.72</v>
      </c>
      <c r="S288" s="123">
        <f>+S283-S287</f>
        <v>179339.97</v>
      </c>
      <c r="U288" s="115"/>
      <c r="V288" s="299">
        <f>+V283-V287</f>
        <v>0</v>
      </c>
      <c r="W288" s="114"/>
      <c r="X288" s="115"/>
      <c r="Y288" s="115"/>
      <c r="Z288" s="114"/>
    </row>
    <row r="289" spans="3:26" ht="15.75" thickBot="1">
      <c r="C289" s="12"/>
      <c r="D289" s="12"/>
      <c r="E289" s="12"/>
      <c r="F289" s="12"/>
      <c r="G289" s="12"/>
      <c r="H289" s="94">
        <f>+H284-H288</f>
        <v>204959.97</v>
      </c>
      <c r="I289" s="94">
        <f>+I284-I288</f>
        <v>0</v>
      </c>
      <c r="J289" s="61"/>
      <c r="K289" s="112"/>
      <c r="L289" s="112"/>
      <c r="M289" s="112"/>
      <c r="N289" s="112"/>
      <c r="O289" s="461"/>
      <c r="P289" s="128"/>
      <c r="Q289" s="128"/>
      <c r="R289" s="112"/>
      <c r="S289" s="16"/>
      <c r="U289" s="115"/>
      <c r="V289" s="286"/>
      <c r="W289" s="284">
        <v>262984.5</v>
      </c>
      <c r="X289" s="115"/>
      <c r="Y289" s="115"/>
      <c r="Z289" s="284">
        <v>256976.35</v>
      </c>
    </row>
    <row r="290" spans="2:26" ht="15">
      <c r="B290" s="12"/>
      <c r="C290" s="12"/>
      <c r="D290" s="12"/>
      <c r="E290" s="12"/>
      <c r="F290" s="12"/>
      <c r="G290" s="12"/>
      <c r="H290" s="16"/>
      <c r="I290" s="16"/>
      <c r="J290" s="61"/>
      <c r="K290" s="112"/>
      <c r="L290" s="112"/>
      <c r="M290" s="112"/>
      <c r="N290" s="112"/>
      <c r="O290" s="461"/>
      <c r="P290" s="528"/>
      <c r="Q290" s="522" t="s">
        <v>642</v>
      </c>
      <c r="R290" s="522" t="s">
        <v>642</v>
      </c>
      <c r="S290" s="217"/>
      <c r="U290" s="115"/>
      <c r="V290" s="287"/>
      <c r="W290" s="124">
        <f>+W287-W289</f>
        <v>-69725.32</v>
      </c>
      <c r="X290" s="115"/>
      <c r="Y290" s="115"/>
      <c r="Z290" s="124">
        <f>+Z287-Z289</f>
        <v>-63717.17000000001</v>
      </c>
    </row>
    <row r="291" spans="2:26" ht="18">
      <c r="B291" s="109" t="s">
        <v>607</v>
      </c>
      <c r="C291" s="12"/>
      <c r="D291" s="12"/>
      <c r="E291" s="12"/>
      <c r="F291" s="12"/>
      <c r="G291" s="12"/>
      <c r="H291" s="12"/>
      <c r="I291" s="12"/>
      <c r="J291" s="61"/>
      <c r="K291" s="112"/>
      <c r="L291" s="112"/>
      <c r="M291" s="112"/>
      <c r="N291" s="112"/>
      <c r="O291" s="32">
        <v>2023</v>
      </c>
      <c r="P291" s="32">
        <v>2022</v>
      </c>
      <c r="Q291" s="110">
        <v>2021</v>
      </c>
      <c r="R291" s="110">
        <v>2021</v>
      </c>
      <c r="S291" s="110">
        <v>2019</v>
      </c>
      <c r="U291" s="115"/>
      <c r="V291" s="287"/>
      <c r="W291" s="124"/>
      <c r="X291" s="115"/>
      <c r="Y291" s="115"/>
      <c r="Z291" s="124"/>
    </row>
    <row r="292" spans="2:40" ht="15.75" thickBot="1">
      <c r="B292" s="12" t="s">
        <v>29</v>
      </c>
      <c r="C292" s="12"/>
      <c r="D292" s="12"/>
      <c r="E292" s="12"/>
      <c r="F292" s="12"/>
      <c r="G292" s="12"/>
      <c r="H292" s="12"/>
      <c r="I292" s="12"/>
      <c r="J292" s="61"/>
      <c r="K292" s="112"/>
      <c r="L292" s="112"/>
      <c r="M292" s="112"/>
      <c r="N292" s="112"/>
      <c r="O292" s="671">
        <v>122771.15</v>
      </c>
      <c r="P292" s="671">
        <v>122771.15</v>
      </c>
      <c r="Q292" s="68">
        <v>122771.15</v>
      </c>
      <c r="R292" s="68">
        <v>123476.44</v>
      </c>
      <c r="S292" s="68">
        <v>123476.44</v>
      </c>
      <c r="U292" s="115"/>
      <c r="V292" s="307"/>
      <c r="W292" s="114"/>
      <c r="X292" s="115"/>
      <c r="Y292" s="115"/>
      <c r="Z292" s="114"/>
      <c r="AN292" s="449">
        <f>+P292-Q292</f>
        <v>0</v>
      </c>
    </row>
    <row r="293" spans="2:26" ht="15.75" hidden="1" thickBot="1">
      <c r="B293" s="12" t="s">
        <v>29</v>
      </c>
      <c r="C293" s="12"/>
      <c r="D293" s="12"/>
      <c r="E293" s="12"/>
      <c r="F293" s="12"/>
      <c r="G293" s="12"/>
      <c r="H293" s="93">
        <v>123476.44</v>
      </c>
      <c r="I293" s="93"/>
      <c r="J293" s="61"/>
      <c r="K293" s="112"/>
      <c r="L293" s="112"/>
      <c r="M293" s="112"/>
      <c r="N293" s="112"/>
      <c r="O293" s="649"/>
      <c r="P293" s="649"/>
      <c r="Q293" s="128"/>
      <c r="R293" s="112"/>
      <c r="S293" s="94">
        <f>SUM(S292)</f>
        <v>123476.44</v>
      </c>
      <c r="T293" s="299">
        <f>+V292</f>
        <v>0</v>
      </c>
      <c r="U293" s="115"/>
      <c r="V293" s="115"/>
      <c r="W293" s="114"/>
      <c r="X293" s="115"/>
      <c r="Y293" s="115"/>
      <c r="Z293" s="114"/>
    </row>
    <row r="294" spans="2:26" ht="15" hidden="1">
      <c r="B294" s="12"/>
      <c r="C294" s="12"/>
      <c r="D294" s="12"/>
      <c r="E294" s="12"/>
      <c r="F294" s="12"/>
      <c r="G294" s="12"/>
      <c r="H294" s="94">
        <f>SUM(H293)</f>
        <v>123476.44</v>
      </c>
      <c r="I294" s="94">
        <f>+I293</f>
        <v>0</v>
      </c>
      <c r="J294" s="61"/>
      <c r="K294" s="112"/>
      <c r="L294" s="112"/>
      <c r="M294" s="112"/>
      <c r="N294" s="112"/>
      <c r="O294" s="649"/>
      <c r="P294" s="649"/>
      <c r="Q294" s="128"/>
      <c r="R294" s="112"/>
      <c r="S294" s="12"/>
      <c r="T294" s="287"/>
      <c r="U294" s="115"/>
      <c r="V294" s="115"/>
      <c r="W294" s="114"/>
      <c r="X294" s="115"/>
      <c r="Y294" s="115"/>
      <c r="Z294" s="114"/>
    </row>
    <row r="295" spans="2:26" ht="15.75" hidden="1" thickBot="1">
      <c r="B295" s="12" t="s">
        <v>26</v>
      </c>
      <c r="C295" s="12"/>
      <c r="D295" s="12"/>
      <c r="E295" s="12"/>
      <c r="F295" s="12"/>
      <c r="G295" s="12"/>
      <c r="H295" s="12"/>
      <c r="I295" s="12"/>
      <c r="J295" s="61"/>
      <c r="K295" s="112"/>
      <c r="L295" s="112"/>
      <c r="M295" s="112"/>
      <c r="N295" s="112"/>
      <c r="O295" s="649"/>
      <c r="P295" s="649"/>
      <c r="Q295" s="128"/>
      <c r="R295" s="112"/>
      <c r="S295" s="93" t="str">
        <f>+'[1]Depreciación Acumulada'!H67</f>
        <v>ok</v>
      </c>
      <c r="T295" s="307">
        <f>+'[1]Depreciación Acumulada'!J67</f>
        <v>0</v>
      </c>
      <c r="U295" s="115"/>
      <c r="V295" s="115"/>
      <c r="W295" s="114"/>
      <c r="X295" s="115"/>
      <c r="Y295" s="115"/>
      <c r="Z295" s="114"/>
    </row>
    <row r="296" spans="2:26" ht="15.75" hidden="1" thickBot="1">
      <c r="B296" s="12" t="s">
        <v>122</v>
      </c>
      <c r="C296" s="12"/>
      <c r="D296" s="12"/>
      <c r="E296" s="12"/>
      <c r="F296" s="12"/>
      <c r="G296" s="12"/>
      <c r="H296" s="93">
        <f>+'[1]Depreciación Acumulada'!B68</f>
        <v>0</v>
      </c>
      <c r="I296" s="93">
        <f>+'[1]Depreciación Acumulada'!D68</f>
        <v>4995</v>
      </c>
      <c r="J296" s="61"/>
      <c r="K296" s="112"/>
      <c r="L296" s="112"/>
      <c r="M296" s="112"/>
      <c r="N296" s="112"/>
      <c r="O296" s="649"/>
      <c r="P296" s="649"/>
      <c r="Q296" s="128"/>
      <c r="R296" s="112"/>
      <c r="S296" s="94" t="e">
        <f>+S292-S295</f>
        <v>#VALUE!</v>
      </c>
      <c r="T296" s="299">
        <f>+V292-T295</f>
        <v>0</v>
      </c>
      <c r="U296" s="115"/>
      <c r="V296" s="115"/>
      <c r="W296" s="114"/>
      <c r="X296" s="115"/>
      <c r="Y296" s="115"/>
      <c r="Z296" s="114"/>
    </row>
    <row r="297" spans="2:26" ht="15" hidden="1">
      <c r="B297" s="72" t="s">
        <v>123</v>
      </c>
      <c r="C297" s="12"/>
      <c r="D297" s="12"/>
      <c r="E297" s="12"/>
      <c r="F297" s="12"/>
      <c r="G297" s="12"/>
      <c r="H297" s="94">
        <f>+H293-H296</f>
        <v>123476.44</v>
      </c>
      <c r="I297" s="94">
        <f>+I293-I296</f>
        <v>-4995</v>
      </c>
      <c r="J297" s="61"/>
      <c r="K297" s="112"/>
      <c r="L297" s="112"/>
      <c r="M297" s="112"/>
      <c r="N297" s="112"/>
      <c r="O297" s="649"/>
      <c r="P297" s="649"/>
      <c r="Q297" s="128"/>
      <c r="R297" s="112"/>
      <c r="S297" s="112"/>
      <c r="T297" s="115"/>
      <c r="U297" s="115"/>
      <c r="V297" s="115"/>
      <c r="W297" s="114"/>
      <c r="X297" s="115"/>
      <c r="Y297" s="115"/>
      <c r="Z297" s="114"/>
    </row>
    <row r="298" spans="2:26" ht="15" hidden="1">
      <c r="B298" s="60" t="s">
        <v>26</v>
      </c>
      <c r="C298" s="60"/>
      <c r="D298" s="60"/>
      <c r="E298" s="60"/>
      <c r="F298" s="60"/>
      <c r="G298" s="60"/>
      <c r="H298" s="61"/>
      <c r="I298" s="61"/>
      <c r="J298" s="61"/>
      <c r="K298" s="112"/>
      <c r="L298" s="112"/>
      <c r="M298" s="112"/>
      <c r="N298" s="112"/>
      <c r="O298" s="649"/>
      <c r="P298" s="649"/>
      <c r="Q298" s="128"/>
      <c r="R298" s="112"/>
      <c r="S298" s="112"/>
      <c r="T298" s="115"/>
      <c r="U298" s="115"/>
      <c r="V298" s="115"/>
      <c r="W298" s="114"/>
      <c r="X298" s="115"/>
      <c r="Y298" s="115"/>
      <c r="Z298" s="114"/>
    </row>
    <row r="299" spans="2:26" ht="15.75" hidden="1" thickBot="1">
      <c r="B299" s="60" t="s">
        <v>122</v>
      </c>
      <c r="C299" s="60"/>
      <c r="D299" s="60"/>
      <c r="E299" s="60"/>
      <c r="F299" s="60"/>
      <c r="G299" s="60"/>
      <c r="H299" s="63"/>
      <c r="I299" s="61"/>
      <c r="J299" s="61"/>
      <c r="K299" s="112"/>
      <c r="L299" s="112"/>
      <c r="M299" s="112"/>
      <c r="N299" s="112"/>
      <c r="O299" s="649"/>
      <c r="P299" s="649"/>
      <c r="Q299" s="128"/>
      <c r="R299" s="112"/>
      <c r="S299" s="112"/>
      <c r="T299" s="115"/>
      <c r="U299" s="115"/>
      <c r="V299" s="115"/>
      <c r="W299" s="114"/>
      <c r="X299" s="115"/>
      <c r="Y299" s="115"/>
      <c r="Z299" s="114"/>
    </row>
    <row r="300" spans="2:26" ht="15" hidden="1">
      <c r="B300" s="72" t="s">
        <v>123</v>
      </c>
      <c r="C300" s="60"/>
      <c r="D300" s="60"/>
      <c r="E300" s="60"/>
      <c r="F300" s="60"/>
      <c r="G300" s="60"/>
      <c r="H300" s="69">
        <f>+H297-H299</f>
        <v>123476.44</v>
      </c>
      <c r="I300" s="61"/>
      <c r="J300" s="61"/>
      <c r="K300" s="112"/>
      <c r="L300" s="112"/>
      <c r="M300" s="112"/>
      <c r="N300" s="112"/>
      <c r="O300" s="649"/>
      <c r="P300" s="649"/>
      <c r="Q300" s="128"/>
      <c r="R300" s="112"/>
      <c r="S300" s="112"/>
      <c r="T300" s="115"/>
      <c r="U300" s="115"/>
      <c r="V300" s="115"/>
      <c r="W300" s="114"/>
      <c r="X300" s="115"/>
      <c r="Y300" s="115"/>
      <c r="Z300" s="114"/>
    </row>
    <row r="301" spans="2:26" ht="15" hidden="1">
      <c r="B301" s="60"/>
      <c r="C301" s="60"/>
      <c r="D301" s="60"/>
      <c r="E301" s="60"/>
      <c r="F301" s="60"/>
      <c r="G301" s="60"/>
      <c r="H301" s="61"/>
      <c r="I301" s="61"/>
      <c r="J301" s="61"/>
      <c r="K301" s="112"/>
      <c r="L301" s="112"/>
      <c r="M301" s="112"/>
      <c r="N301" s="112"/>
      <c r="O301" s="649"/>
      <c r="P301" s="649"/>
      <c r="Q301" s="128"/>
      <c r="R301" s="112"/>
      <c r="S301" s="112"/>
      <c r="T301" s="115"/>
      <c r="U301" s="115"/>
      <c r="V301" s="115"/>
      <c r="W301" s="114"/>
      <c r="X301" s="115"/>
      <c r="Y301" s="115"/>
      <c r="Z301" s="114"/>
    </row>
    <row r="302" spans="2:26" ht="15">
      <c r="B302" s="12" t="s">
        <v>26</v>
      </c>
      <c r="C302" s="60"/>
      <c r="D302" s="60"/>
      <c r="E302" s="60"/>
      <c r="F302" s="60"/>
      <c r="G302" s="60"/>
      <c r="H302" s="61"/>
      <c r="I302" s="61"/>
      <c r="J302" s="61"/>
      <c r="K302" s="112"/>
      <c r="L302" s="112"/>
      <c r="M302" s="112"/>
      <c r="N302" s="112"/>
      <c r="O302" s="649"/>
      <c r="P302" s="649"/>
      <c r="Q302" s="128"/>
      <c r="R302" s="112"/>
      <c r="S302" s="112"/>
      <c r="T302" s="115"/>
      <c r="U302" s="115"/>
      <c r="V302" s="115"/>
      <c r="W302" s="114"/>
      <c r="X302" s="115"/>
      <c r="Y302" s="115"/>
      <c r="Z302" s="114"/>
    </row>
    <row r="303" spans="2:26" ht="15.75" thickBot="1">
      <c r="B303" s="12" t="s">
        <v>122</v>
      </c>
      <c r="C303" s="12"/>
      <c r="D303" s="12"/>
      <c r="E303" s="12"/>
      <c r="F303" s="12"/>
      <c r="G303" s="12"/>
      <c r="H303" s="61"/>
      <c r="I303" s="61"/>
      <c r="J303" s="61"/>
      <c r="K303" s="112"/>
      <c r="L303" s="112"/>
      <c r="M303" s="112"/>
      <c r="N303" s="112"/>
      <c r="O303" s="671">
        <f>+'Depreciación Acumulada'!E81</f>
        <v>55528.63</v>
      </c>
      <c r="P303" s="671">
        <f>+'Depreciación Acumulada'!F81</f>
        <v>43188.91</v>
      </c>
      <c r="Q303" s="68">
        <f>+'Depreciación Acumulada'!G81</f>
        <v>30849.19</v>
      </c>
      <c r="R303" s="68">
        <f>+'Depreciación Acumulada'!H81</f>
        <v>18509.47</v>
      </c>
      <c r="S303" s="68">
        <f>+'Depreciación Acumulada'!I81</f>
        <v>15434.56</v>
      </c>
      <c r="T303" s="115"/>
      <c r="U303" s="115"/>
      <c r="V303" s="115"/>
      <c r="W303" s="114"/>
      <c r="X303" s="115"/>
      <c r="Y303" s="115"/>
      <c r="Z303" s="114"/>
    </row>
    <row r="304" spans="2:26" ht="15">
      <c r="B304" s="72" t="s">
        <v>123</v>
      </c>
      <c r="C304" s="12"/>
      <c r="D304" s="12"/>
      <c r="E304" s="12"/>
      <c r="F304" s="12"/>
      <c r="G304" s="12"/>
      <c r="H304" s="61"/>
      <c r="I304" s="61"/>
      <c r="J304" s="61"/>
      <c r="K304" s="112"/>
      <c r="L304" s="112"/>
      <c r="M304" s="112"/>
      <c r="N304" s="112"/>
      <c r="O304" s="650">
        <f>+O292-O303</f>
        <v>67242.51999999999</v>
      </c>
      <c r="P304" s="650">
        <f>+P292-P303</f>
        <v>79582.23999999999</v>
      </c>
      <c r="Q304" s="123">
        <f>+Q292-Q303</f>
        <v>91921.95999999999</v>
      </c>
      <c r="R304" s="123">
        <f>+R292-R303</f>
        <v>104966.97</v>
      </c>
      <c r="S304" s="123">
        <f>+S292-S303</f>
        <v>108041.88</v>
      </c>
      <c r="T304" s="115"/>
      <c r="U304" s="115"/>
      <c r="V304" s="115"/>
      <c r="W304" s="114"/>
      <c r="X304" s="115"/>
      <c r="Y304" s="115"/>
      <c r="Z304" s="114"/>
    </row>
    <row r="305" spans="2:26" ht="15">
      <c r="B305" s="72"/>
      <c r="C305" s="12"/>
      <c r="D305" s="12"/>
      <c r="E305" s="12"/>
      <c r="F305" s="12"/>
      <c r="G305" s="12"/>
      <c r="H305" s="61"/>
      <c r="I305" s="61"/>
      <c r="J305" s="61"/>
      <c r="K305" s="112"/>
      <c r="L305" s="112"/>
      <c r="M305" s="112"/>
      <c r="N305" s="112"/>
      <c r="O305" s="461"/>
      <c r="P305" s="128"/>
      <c r="Q305" s="128"/>
      <c r="R305" s="95"/>
      <c r="S305" s="95"/>
      <c r="T305" s="115"/>
      <c r="U305" s="115"/>
      <c r="V305" s="283"/>
      <c r="W305" s="114"/>
      <c r="X305" s="115"/>
      <c r="Y305" s="115"/>
      <c r="Z305" s="114"/>
    </row>
    <row r="306" spans="2:41" ht="21" thickBot="1">
      <c r="B306" s="182" t="s">
        <v>127</v>
      </c>
      <c r="C306" s="60"/>
      <c r="D306" s="60"/>
      <c r="E306" s="60"/>
      <c r="F306" s="60"/>
      <c r="G306" s="60"/>
      <c r="H306" s="130">
        <f>+H222+H243+H260+H280+H300</f>
        <v>5793388.460000007</v>
      </c>
      <c r="I306" s="61"/>
      <c r="J306" s="61"/>
      <c r="K306" s="112"/>
      <c r="L306" s="112"/>
      <c r="M306" s="112"/>
      <c r="N306" s="112"/>
      <c r="O306" s="650">
        <f>+O222+O243+O260+O280+O288+O304</f>
        <v>15685185.479999999</v>
      </c>
      <c r="P306" s="650">
        <f>+P222+P243+P260+P280+P288+P304</f>
        <v>16417747.38</v>
      </c>
      <c r="Q306" s="123">
        <f>+Q222+Q243+Q260+Q280+Q288+Q304</f>
        <v>15225944.22</v>
      </c>
      <c r="R306" s="123">
        <f>+R222+R243+R260+R280+R288+R304</f>
        <v>16653974.300000004</v>
      </c>
      <c r="S306" s="123">
        <f>+S222+S243+S260+S280+S288+S304</f>
        <v>5729799.560000004</v>
      </c>
      <c r="T306" s="115"/>
      <c r="U306" s="115"/>
      <c r="V306" s="124">
        <f>+V222+V243+V260+V280+V288+V304</f>
        <v>5008898.6899999995</v>
      </c>
      <c r="W306" s="124">
        <f>+W222+W243+W260+W280</f>
        <v>5938076.200000003</v>
      </c>
      <c r="X306" s="115"/>
      <c r="Y306" s="115"/>
      <c r="Z306" s="124">
        <f>+Z222+Z243+Z260+Z280</f>
        <v>5407451.230000008</v>
      </c>
      <c r="AO306" s="285">
        <f>+P219+P240+P257+P277+P285+P292</f>
        <v>38503852.07</v>
      </c>
    </row>
    <row r="307" spans="2:41" ht="15" thickTop="1">
      <c r="B307" s="12"/>
      <c r="C307" s="12"/>
      <c r="D307" s="12"/>
      <c r="E307" s="12"/>
      <c r="F307" s="12"/>
      <c r="G307" s="12"/>
      <c r="H307" s="6"/>
      <c r="I307" s="6"/>
      <c r="J307" s="6"/>
      <c r="W307" s="286"/>
      <c r="Z307" s="286"/>
      <c r="AO307" s="403">
        <f>+AO306-'[7]Export3'!$I$31</f>
        <v>30744.189999997616</v>
      </c>
    </row>
    <row r="308" spans="2:26" ht="24.75" hidden="1">
      <c r="B308" s="107" t="s">
        <v>80</v>
      </c>
      <c r="C308" s="107"/>
      <c r="D308" s="107"/>
      <c r="E308" s="107"/>
      <c r="F308" s="107"/>
      <c r="G308" s="107"/>
      <c r="H308" s="107"/>
      <c r="I308" s="107"/>
      <c r="J308" s="107"/>
      <c r="K308" s="108"/>
      <c r="Z308" s="286"/>
    </row>
    <row r="309" spans="2:26" ht="24.75" hidden="1">
      <c r="B309" s="12"/>
      <c r="C309" s="107" t="s">
        <v>81</v>
      </c>
      <c r="D309" s="107"/>
      <c r="E309" s="107"/>
      <c r="F309" s="107"/>
      <c r="G309" s="107"/>
      <c r="H309" s="107"/>
      <c r="I309" s="107"/>
      <c r="J309" s="107"/>
      <c r="K309" s="108"/>
      <c r="Z309" s="286"/>
    </row>
    <row r="310" spans="2:26" ht="24.75" hidden="1">
      <c r="B310" s="12"/>
      <c r="C310" s="107" t="s">
        <v>82</v>
      </c>
      <c r="D310" s="107" t="s">
        <v>83</v>
      </c>
      <c r="E310" s="107"/>
      <c r="F310" s="107"/>
      <c r="G310" s="107"/>
      <c r="H310" s="107"/>
      <c r="I310" s="107"/>
      <c r="J310" s="107"/>
      <c r="K310" s="108"/>
      <c r="Z310" s="286"/>
    </row>
    <row r="311" spans="2:26" ht="24.75" hidden="1">
      <c r="B311" s="12"/>
      <c r="C311" s="107" t="s">
        <v>472</v>
      </c>
      <c r="D311" s="107"/>
      <c r="E311" s="107"/>
      <c r="F311" s="107"/>
      <c r="G311" s="107"/>
      <c r="H311" s="107"/>
      <c r="I311" s="107"/>
      <c r="J311" s="107"/>
      <c r="K311" s="108"/>
      <c r="Z311" s="286"/>
    </row>
    <row r="312" spans="2:26" ht="24.75" hidden="1">
      <c r="B312" s="12"/>
      <c r="C312" s="107"/>
      <c r="D312" s="107"/>
      <c r="E312" s="107" t="s">
        <v>84</v>
      </c>
      <c r="F312" s="107"/>
      <c r="G312" s="107"/>
      <c r="H312" s="107"/>
      <c r="I312" s="107"/>
      <c r="J312" s="107"/>
      <c r="K312" s="108"/>
      <c r="Z312" s="286"/>
    </row>
    <row r="313" spans="2:41" ht="14.25">
      <c r="B313" s="12"/>
      <c r="C313" s="12"/>
      <c r="D313" s="12"/>
      <c r="E313" s="12"/>
      <c r="F313" s="12"/>
      <c r="G313" s="12"/>
      <c r="H313" s="12"/>
      <c r="I313" s="12"/>
      <c r="J313" s="12"/>
      <c r="W313" s="286"/>
      <c r="Z313" s="286"/>
      <c r="AO313" s="285">
        <f>+P221+P242+P259+P279+P287+P303</f>
        <v>22086104.689999998</v>
      </c>
    </row>
    <row r="314" spans="2:41" ht="21">
      <c r="B314" s="182" t="s">
        <v>129</v>
      </c>
      <c r="C314" s="12"/>
      <c r="D314" s="12"/>
      <c r="E314" s="12"/>
      <c r="F314" s="12"/>
      <c r="G314" s="12"/>
      <c r="H314" s="12"/>
      <c r="I314" s="12"/>
      <c r="J314" s="12"/>
      <c r="Z314" s="286"/>
      <c r="AO314" s="404">
        <f>+AO313+'[7]Export3'!$I$114</f>
        <v>0</v>
      </c>
    </row>
    <row r="315" spans="2:26" ht="15">
      <c r="B315" s="60" t="s">
        <v>118</v>
      </c>
      <c r="C315" s="12"/>
      <c r="D315" s="12"/>
      <c r="E315" s="12"/>
      <c r="F315" s="12"/>
      <c r="G315" s="12"/>
      <c r="H315" s="12"/>
      <c r="I315" s="12"/>
      <c r="J315" s="12"/>
      <c r="Z315" s="286"/>
    </row>
    <row r="316" spans="2:26" ht="15">
      <c r="B316" s="60" t="s">
        <v>994</v>
      </c>
      <c r="C316" s="12"/>
      <c r="D316" s="12"/>
      <c r="E316" s="12"/>
      <c r="F316" s="12"/>
      <c r="G316" s="12"/>
      <c r="H316" s="12"/>
      <c r="I316" s="12"/>
      <c r="J316" s="12"/>
      <c r="Z316" s="286"/>
    </row>
    <row r="317" spans="2:26" ht="15">
      <c r="B317" s="60"/>
      <c r="C317" s="12"/>
      <c r="D317" s="12"/>
      <c r="E317" s="12"/>
      <c r="F317" s="12"/>
      <c r="G317" s="12"/>
      <c r="H317" s="12"/>
      <c r="I317" s="12"/>
      <c r="J317" s="12"/>
      <c r="Q317" s="217" t="s">
        <v>642</v>
      </c>
      <c r="R317" s="217"/>
      <c r="S317" s="217"/>
      <c r="Z317" s="286"/>
    </row>
    <row r="318" spans="2:26" ht="18">
      <c r="B318" s="109" t="s">
        <v>130</v>
      </c>
      <c r="C318" s="60"/>
      <c r="D318" s="60"/>
      <c r="E318" s="60"/>
      <c r="F318" s="60"/>
      <c r="G318" s="60"/>
      <c r="H318" s="60"/>
      <c r="I318" s="60"/>
      <c r="J318" s="60"/>
      <c r="K318" s="112"/>
      <c r="L318" s="112"/>
      <c r="M318" s="112"/>
      <c r="N318" s="112"/>
      <c r="O318" s="32">
        <v>2023</v>
      </c>
      <c r="P318" s="32">
        <v>2022</v>
      </c>
      <c r="Q318" s="110">
        <v>2021</v>
      </c>
      <c r="R318" s="110">
        <v>2020</v>
      </c>
      <c r="S318" s="110">
        <v>2019</v>
      </c>
      <c r="T318" s="115"/>
      <c r="U318" s="115"/>
      <c r="V318" s="277">
        <v>2018</v>
      </c>
      <c r="W318" s="295">
        <v>2017</v>
      </c>
      <c r="X318" s="300"/>
      <c r="Y318" s="300"/>
      <c r="Z318" s="295">
        <v>2016</v>
      </c>
    </row>
    <row r="319" spans="2:26" ht="15">
      <c r="B319" s="60" t="s">
        <v>131</v>
      </c>
      <c r="C319" s="60"/>
      <c r="D319" s="60"/>
      <c r="E319" s="60"/>
      <c r="F319" s="60"/>
      <c r="G319" s="60"/>
      <c r="H319" s="61">
        <v>12847616.98</v>
      </c>
      <c r="I319" s="61"/>
      <c r="J319" s="61"/>
      <c r="K319" s="112"/>
      <c r="L319" s="112"/>
      <c r="M319" s="112"/>
      <c r="N319" s="112"/>
      <c r="O319" s="670">
        <v>11032126.5</v>
      </c>
      <c r="P319" s="670">
        <v>10071102.46</v>
      </c>
      <c r="Q319" s="67">
        <v>7024691.27</v>
      </c>
      <c r="R319" s="67">
        <v>4852929.33</v>
      </c>
      <c r="S319" s="67">
        <v>20267575.18</v>
      </c>
      <c r="T319" s="115"/>
      <c r="U319" s="115"/>
      <c r="V319" s="114">
        <v>17132862.77</v>
      </c>
      <c r="W319" s="114">
        <v>16753845.95</v>
      </c>
      <c r="X319" s="115"/>
      <c r="Y319" s="115"/>
      <c r="Z319" s="114">
        <v>13542422.96</v>
      </c>
    </row>
    <row r="320" spans="2:26" ht="15">
      <c r="B320" s="60" t="s">
        <v>46</v>
      </c>
      <c r="C320" s="60"/>
      <c r="D320" s="60"/>
      <c r="E320" s="60"/>
      <c r="F320" s="60"/>
      <c r="G320" s="60"/>
      <c r="H320" s="61">
        <v>1799700.13</v>
      </c>
      <c r="I320" s="61"/>
      <c r="J320" s="61"/>
      <c r="K320" s="112"/>
      <c r="L320" s="112"/>
      <c r="M320" s="112"/>
      <c r="N320" s="112"/>
      <c r="O320" s="670">
        <v>1950239</v>
      </c>
      <c r="P320" s="670">
        <v>1684580.54</v>
      </c>
      <c r="Q320" s="67">
        <v>1360333.32</v>
      </c>
      <c r="R320" s="67">
        <v>1360333.32</v>
      </c>
      <c r="S320" s="67">
        <v>2370523.44</v>
      </c>
      <c r="T320" s="115"/>
      <c r="U320" s="115"/>
      <c r="V320" s="114">
        <v>2203218.88</v>
      </c>
      <c r="W320" s="114">
        <v>2188218.88</v>
      </c>
      <c r="X320" s="115"/>
      <c r="Y320" s="115"/>
      <c r="Z320" s="114">
        <v>1809900.13</v>
      </c>
    </row>
    <row r="321" spans="2:26" ht="15">
      <c r="B321" s="60" t="s">
        <v>132</v>
      </c>
      <c r="C321" s="60"/>
      <c r="D321" s="60"/>
      <c r="E321" s="60"/>
      <c r="F321" s="60"/>
      <c r="G321" s="60"/>
      <c r="H321" s="61">
        <v>846885.18</v>
      </c>
      <c r="I321" s="61"/>
      <c r="J321" s="61"/>
      <c r="K321" s="112"/>
      <c r="L321" s="112"/>
      <c r="M321" s="112"/>
      <c r="N321" s="112"/>
      <c r="O321" s="670">
        <v>393445.16</v>
      </c>
      <c r="P321" s="670">
        <v>362759.07</v>
      </c>
      <c r="Q321" s="67">
        <v>249629.07</v>
      </c>
      <c r="R321" s="67">
        <v>249629.07</v>
      </c>
      <c r="S321" s="67">
        <v>1217457.52</v>
      </c>
      <c r="T321" s="115"/>
      <c r="U321" s="115"/>
      <c r="V321" s="114">
        <v>1217457.52</v>
      </c>
      <c r="W321" s="114">
        <v>846885.18</v>
      </c>
      <c r="X321" s="115"/>
      <c r="Y321" s="115"/>
      <c r="Z321" s="114">
        <v>846885.18</v>
      </c>
    </row>
    <row r="322" spans="2:26" ht="15">
      <c r="B322" s="60" t="s">
        <v>48</v>
      </c>
      <c r="C322" s="60"/>
      <c r="D322" s="60"/>
      <c r="E322" s="60"/>
      <c r="F322" s="60"/>
      <c r="G322" s="60"/>
      <c r="H322" s="61">
        <v>2606056.52</v>
      </c>
      <c r="I322" s="61"/>
      <c r="J322" s="61"/>
      <c r="K322" s="112"/>
      <c r="L322" s="112"/>
      <c r="M322" s="112"/>
      <c r="N322" s="112"/>
      <c r="O322" s="670">
        <v>282527.28</v>
      </c>
      <c r="P322" s="670">
        <v>282527.28</v>
      </c>
      <c r="Q322" s="67">
        <v>282527.28</v>
      </c>
      <c r="R322" s="67">
        <v>282527.28</v>
      </c>
      <c r="S322" s="67">
        <v>2617007.23</v>
      </c>
      <c r="T322" s="115"/>
      <c r="U322" s="115"/>
      <c r="V322" s="114">
        <v>2617007.23</v>
      </c>
      <c r="W322" s="114">
        <v>2617007.23</v>
      </c>
      <c r="X322" s="115"/>
      <c r="Y322" s="115"/>
      <c r="Z322" s="114">
        <v>2606056.52</v>
      </c>
    </row>
    <row r="323" spans="2:42" ht="15.75" thickBot="1">
      <c r="B323" s="60" t="s">
        <v>133</v>
      </c>
      <c r="C323" s="60"/>
      <c r="D323" s="60"/>
      <c r="E323" s="60"/>
      <c r="F323" s="60"/>
      <c r="G323" s="60"/>
      <c r="H323" s="63">
        <v>6512175.12</v>
      </c>
      <c r="I323" s="62"/>
      <c r="J323" s="62"/>
      <c r="K323" s="112"/>
      <c r="L323" s="112"/>
      <c r="M323" s="112"/>
      <c r="N323" s="112"/>
      <c r="O323" s="671">
        <v>285495.49</v>
      </c>
      <c r="P323" s="671">
        <v>285495.49</v>
      </c>
      <c r="Q323" s="68">
        <v>285495.49</v>
      </c>
      <c r="R323" s="68">
        <f>292495.49</f>
        <v>292495.49</v>
      </c>
      <c r="S323" s="68">
        <v>8505490.76</v>
      </c>
      <c r="T323" s="115"/>
      <c r="U323" s="115"/>
      <c r="V323" s="284">
        <v>7759928.19</v>
      </c>
      <c r="W323" s="284">
        <v>7695478.54</v>
      </c>
      <c r="X323" s="115"/>
      <c r="Y323" s="115"/>
      <c r="Z323" s="284">
        <v>7690978.67</v>
      </c>
      <c r="AP323" s="285">
        <f>+O324+O336+O349+O362+O369+O370+O379</f>
        <v>18403118.11</v>
      </c>
    </row>
    <row r="324" spans="2:40" ht="15">
      <c r="B324" s="60"/>
      <c r="C324" s="60"/>
      <c r="D324" s="60"/>
      <c r="E324" s="60"/>
      <c r="F324" s="60"/>
      <c r="G324" s="60"/>
      <c r="H324" s="69">
        <f>SUM(H319:H323)</f>
        <v>24612433.93</v>
      </c>
      <c r="I324" s="69"/>
      <c r="J324" s="69"/>
      <c r="K324" s="112"/>
      <c r="L324" s="112"/>
      <c r="M324" s="112"/>
      <c r="N324" s="112"/>
      <c r="O324" s="650">
        <f>SUM(O319:O323)</f>
        <v>13943833.43</v>
      </c>
      <c r="P324" s="650">
        <f>SUM(P319:P323)</f>
        <v>12686464.84</v>
      </c>
      <c r="Q324" s="123">
        <f>SUM(Q319:Q323)</f>
        <v>9202676.43</v>
      </c>
      <c r="R324" s="123">
        <f>SUM(R319:R323)</f>
        <v>7037914.490000001</v>
      </c>
      <c r="S324" s="123">
        <f>SUM(S319:S323)</f>
        <v>34978054.13</v>
      </c>
      <c r="T324" s="115"/>
      <c r="U324" s="115"/>
      <c r="V324" s="124">
        <f>SUM(V319:V323)</f>
        <v>30930474.59</v>
      </c>
      <c r="W324" s="124">
        <f>SUM(W319:W323)</f>
        <v>30101435.779999997</v>
      </c>
      <c r="X324" s="115"/>
      <c r="Y324" s="115"/>
      <c r="Z324" s="124">
        <f>SUM(Z319:Z323)</f>
        <v>26496243.46</v>
      </c>
      <c r="AN324" s="449">
        <f>+P324-Q324</f>
        <v>3483788.41</v>
      </c>
    </row>
    <row r="325" spans="2:26" ht="15">
      <c r="B325" s="60" t="s">
        <v>26</v>
      </c>
      <c r="C325" s="60"/>
      <c r="D325" s="60"/>
      <c r="E325" s="60"/>
      <c r="F325" s="60"/>
      <c r="G325" s="60"/>
      <c r="H325" s="61"/>
      <c r="I325" s="61"/>
      <c r="J325" s="61"/>
      <c r="K325" s="112"/>
      <c r="L325" s="112"/>
      <c r="M325" s="112"/>
      <c r="N325" s="112"/>
      <c r="O325" s="649"/>
      <c r="P325" s="649"/>
      <c r="Q325" s="128"/>
      <c r="R325" s="112"/>
      <c r="S325" s="112"/>
      <c r="T325" s="115"/>
      <c r="U325" s="115"/>
      <c r="V325" s="115"/>
      <c r="W325" s="114"/>
      <c r="X325" s="115"/>
      <c r="Y325" s="115"/>
      <c r="Z325" s="114"/>
    </row>
    <row r="326" spans="2:28" ht="15.75" thickBot="1">
      <c r="B326" s="60" t="s">
        <v>122</v>
      </c>
      <c r="C326" s="60"/>
      <c r="D326" s="60"/>
      <c r="E326" s="60"/>
      <c r="F326" s="60"/>
      <c r="G326" s="60"/>
      <c r="H326" s="63">
        <v>20697337.42</v>
      </c>
      <c r="I326" s="73"/>
      <c r="J326" s="73"/>
      <c r="K326" s="116"/>
      <c r="L326" s="116"/>
      <c r="M326" s="116"/>
      <c r="N326" s="116"/>
      <c r="O326" s="657">
        <f>+'Depreciación Acumulada'!E105</f>
        <v>10691089.5</v>
      </c>
      <c r="P326" s="657">
        <f>+'Depreciación Acumulada'!F105</f>
        <v>8373011.850000001</v>
      </c>
      <c r="Q326" s="86">
        <f>+'Depreciación Acumulada'!G105</f>
        <v>6315037.37</v>
      </c>
      <c r="R326" s="86">
        <f>+'Depreciación Acumulada'!H105</f>
        <v>4094509.0799999996</v>
      </c>
      <c r="S326" s="86">
        <f>+'Depreciación Acumulada'!I105</f>
        <v>28333352.93</v>
      </c>
      <c r="T326" s="278"/>
      <c r="U326" s="278"/>
      <c r="V326" s="284">
        <v>26498262.51</v>
      </c>
      <c r="W326" s="284">
        <v>24663172.09</v>
      </c>
      <c r="X326" s="278"/>
      <c r="Y326" s="278"/>
      <c r="Z326" s="284">
        <v>22531177.71</v>
      </c>
      <c r="AA326" s="285"/>
      <c r="AB326" s="285"/>
    </row>
    <row r="327" spans="2:26" ht="18">
      <c r="B327" s="109" t="s">
        <v>123</v>
      </c>
      <c r="C327" s="60"/>
      <c r="D327" s="60"/>
      <c r="E327" s="60"/>
      <c r="F327" s="60"/>
      <c r="G327" s="60"/>
      <c r="H327" s="69">
        <f>+H324-H326</f>
        <v>3915096.509999998</v>
      </c>
      <c r="I327" s="69"/>
      <c r="J327" s="69"/>
      <c r="K327" s="112"/>
      <c r="L327" s="112"/>
      <c r="M327" s="112"/>
      <c r="N327" s="112"/>
      <c r="O327" s="650">
        <f>+O324-O326</f>
        <v>3252743.9299999997</v>
      </c>
      <c r="P327" s="650">
        <f>+P324-P326</f>
        <v>4313452.989999999</v>
      </c>
      <c r="Q327" s="123">
        <f>+Q324-Q326</f>
        <v>2887639.0599999996</v>
      </c>
      <c r="R327" s="123">
        <f>+R324-R326</f>
        <v>2943405.4100000015</v>
      </c>
      <c r="S327" s="123">
        <f>+S324-S326</f>
        <v>6644701.200000003</v>
      </c>
      <c r="T327" s="115"/>
      <c r="U327" s="115"/>
      <c r="V327" s="124">
        <f>+V324-V326</f>
        <v>4432212.079999998</v>
      </c>
      <c r="W327" s="124">
        <f>+W324-W326</f>
        <v>5438263.689999998</v>
      </c>
      <c r="X327" s="115"/>
      <c r="Y327" s="115"/>
      <c r="Z327" s="124">
        <f>+Z324-Z326</f>
        <v>3965065.75</v>
      </c>
    </row>
    <row r="328" spans="2:26" ht="14.25">
      <c r="B328" s="12"/>
      <c r="C328" s="12"/>
      <c r="D328" s="12"/>
      <c r="E328" s="12"/>
      <c r="F328" s="12"/>
      <c r="G328" s="12"/>
      <c r="H328" s="6"/>
      <c r="I328" s="6"/>
      <c r="J328" s="6"/>
      <c r="O328" s="664"/>
      <c r="P328" s="664"/>
      <c r="W328" s="286"/>
      <c r="Z328" s="286"/>
    </row>
    <row r="329" spans="2:26" ht="14.25">
      <c r="B329" s="12"/>
      <c r="C329" s="12"/>
      <c r="D329" s="12"/>
      <c r="E329" s="12"/>
      <c r="F329" s="12"/>
      <c r="G329" s="12"/>
      <c r="H329" s="6"/>
      <c r="I329" s="6"/>
      <c r="J329" s="6"/>
      <c r="Q329" s="522" t="s">
        <v>642</v>
      </c>
      <c r="R329" s="522"/>
      <c r="S329" s="217"/>
      <c r="W329" s="286"/>
      <c r="Z329" s="286"/>
    </row>
    <row r="330" spans="2:26" ht="18">
      <c r="B330" s="109" t="s">
        <v>134</v>
      </c>
      <c r="C330" s="12"/>
      <c r="D330" s="12"/>
      <c r="E330" s="12"/>
      <c r="F330" s="12"/>
      <c r="G330" s="12"/>
      <c r="H330" s="6"/>
      <c r="I330" s="6"/>
      <c r="J330" s="6"/>
      <c r="O330" s="32">
        <v>2023</v>
      </c>
      <c r="P330" s="32">
        <v>2022</v>
      </c>
      <c r="Q330" s="110">
        <v>2021</v>
      </c>
      <c r="R330" s="110">
        <v>2020</v>
      </c>
      <c r="S330" s="110">
        <v>2019</v>
      </c>
      <c r="V330" s="277">
        <v>2018</v>
      </c>
      <c r="W330" s="295">
        <v>2017</v>
      </c>
      <c r="X330" s="300"/>
      <c r="Y330" s="300"/>
      <c r="Z330" s="295">
        <v>2016</v>
      </c>
    </row>
    <row r="331" spans="2:26" ht="15">
      <c r="B331" s="60" t="s">
        <v>131</v>
      </c>
      <c r="C331" s="60"/>
      <c r="D331" s="60"/>
      <c r="E331" s="60"/>
      <c r="F331" s="60"/>
      <c r="G331" s="60"/>
      <c r="H331" s="61">
        <v>777749.82</v>
      </c>
      <c r="I331" s="61"/>
      <c r="J331" s="61"/>
      <c r="K331" s="112"/>
      <c r="L331" s="112"/>
      <c r="M331" s="112"/>
      <c r="N331" s="112"/>
      <c r="O331" s="670">
        <v>1130737.83</v>
      </c>
      <c r="P331" s="670">
        <v>829948.57</v>
      </c>
      <c r="Q331" s="67">
        <v>1446596</v>
      </c>
      <c r="R331" s="67">
        <v>649946.59</v>
      </c>
      <c r="S331" s="67">
        <v>1172230.26</v>
      </c>
      <c r="T331" s="115"/>
      <c r="U331" s="115"/>
      <c r="V331" s="114">
        <v>1075244.3</v>
      </c>
      <c r="W331" s="114">
        <v>1040814.3</v>
      </c>
      <c r="X331" s="115"/>
      <c r="Y331" s="115"/>
      <c r="Z331" s="114">
        <v>1040814.3</v>
      </c>
    </row>
    <row r="332" spans="2:26" ht="15">
      <c r="B332" s="60" t="s">
        <v>46</v>
      </c>
      <c r="C332" s="60"/>
      <c r="D332" s="60"/>
      <c r="E332" s="60"/>
      <c r="F332" s="60"/>
      <c r="G332" s="60"/>
      <c r="H332" s="61">
        <v>237007.6</v>
      </c>
      <c r="I332" s="61"/>
      <c r="J332" s="61"/>
      <c r="K332" s="112"/>
      <c r="L332" s="112"/>
      <c r="M332" s="112"/>
      <c r="N332" s="112"/>
      <c r="O332" s="670">
        <v>66093.99</v>
      </c>
      <c r="P332" s="670">
        <v>45379</v>
      </c>
      <c r="Q332" s="67">
        <v>45379</v>
      </c>
      <c r="R332" s="67">
        <v>45379</v>
      </c>
      <c r="S332" s="67">
        <v>290824.15</v>
      </c>
      <c r="T332" s="115"/>
      <c r="U332" s="115"/>
      <c r="V332" s="114">
        <v>290824.15</v>
      </c>
      <c r="W332" s="114">
        <v>290824.15</v>
      </c>
      <c r="X332" s="115"/>
      <c r="Y332" s="115"/>
      <c r="Z332" s="114">
        <v>237007.6</v>
      </c>
    </row>
    <row r="333" spans="2:26" ht="15">
      <c r="B333" s="60" t="s">
        <v>47</v>
      </c>
      <c r="C333" s="60"/>
      <c r="D333" s="60"/>
      <c r="E333" s="60"/>
      <c r="F333" s="60"/>
      <c r="G333" s="60"/>
      <c r="H333" s="61"/>
      <c r="I333" s="61"/>
      <c r="J333" s="61"/>
      <c r="K333" s="112"/>
      <c r="L333" s="112"/>
      <c r="M333" s="112"/>
      <c r="N333" s="112"/>
      <c r="O333" s="670">
        <v>130490.61</v>
      </c>
      <c r="P333" s="670">
        <v>130490.61</v>
      </c>
      <c r="Q333" s="67">
        <v>130490.61</v>
      </c>
      <c r="R333" s="67">
        <v>0</v>
      </c>
      <c r="S333" s="67">
        <v>130490.61</v>
      </c>
      <c r="T333" s="115"/>
      <c r="U333" s="115"/>
      <c r="V333" s="114">
        <v>130490.61</v>
      </c>
      <c r="W333" s="114"/>
      <c r="X333" s="115"/>
      <c r="Y333" s="115"/>
      <c r="Z333" s="114"/>
    </row>
    <row r="334" spans="2:26" ht="15">
      <c r="B334" s="60" t="s">
        <v>48</v>
      </c>
      <c r="C334" s="60"/>
      <c r="D334" s="60"/>
      <c r="E334" s="60"/>
      <c r="F334" s="60"/>
      <c r="G334" s="60"/>
      <c r="H334" s="62">
        <f>76900-0.02</f>
        <v>76899.98</v>
      </c>
      <c r="I334" s="62"/>
      <c r="J334" s="62"/>
      <c r="K334" s="112"/>
      <c r="L334" s="112"/>
      <c r="M334" s="112"/>
      <c r="N334" s="112"/>
      <c r="O334" s="670">
        <v>92362.03</v>
      </c>
      <c r="P334" s="670">
        <v>92362.03</v>
      </c>
      <c r="Q334" s="67">
        <v>92362.03</v>
      </c>
      <c r="R334" s="67">
        <v>92362.03</v>
      </c>
      <c r="S334" s="67">
        <v>76900</v>
      </c>
      <c r="T334" s="115"/>
      <c r="U334" s="115"/>
      <c r="V334" s="114">
        <v>76900</v>
      </c>
      <c r="W334" s="114">
        <f>76900-0.02</f>
        <v>76899.98</v>
      </c>
      <c r="X334" s="115"/>
      <c r="Y334" s="115"/>
      <c r="Z334" s="114">
        <f>76900-0.02</f>
        <v>76899.98</v>
      </c>
    </row>
    <row r="335" spans="2:26" ht="15.75" thickBot="1">
      <c r="B335" s="60" t="s">
        <v>251</v>
      </c>
      <c r="C335" s="60"/>
      <c r="D335" s="60"/>
      <c r="E335" s="60"/>
      <c r="F335" s="60"/>
      <c r="G335" s="60"/>
      <c r="H335" s="63">
        <v>203552.51</v>
      </c>
      <c r="I335" s="62"/>
      <c r="J335" s="62"/>
      <c r="K335" s="112"/>
      <c r="L335" s="112"/>
      <c r="M335" s="112"/>
      <c r="N335" s="112"/>
      <c r="O335" s="671"/>
      <c r="P335" s="671"/>
      <c r="Q335" s="68">
        <v>0</v>
      </c>
      <c r="R335" s="68">
        <v>0</v>
      </c>
      <c r="S335" s="68">
        <v>203552.51</v>
      </c>
      <c r="T335" s="115"/>
      <c r="U335" s="115"/>
      <c r="V335" s="284">
        <v>203552.51</v>
      </c>
      <c r="W335" s="284">
        <v>203552.51</v>
      </c>
      <c r="X335" s="115"/>
      <c r="Y335" s="115"/>
      <c r="Z335" s="284">
        <v>203552.51</v>
      </c>
    </row>
    <row r="336" spans="2:40" ht="15">
      <c r="B336" s="60"/>
      <c r="C336" s="60"/>
      <c r="D336" s="60"/>
      <c r="E336" s="60"/>
      <c r="F336" s="60"/>
      <c r="G336" s="60"/>
      <c r="H336" s="69">
        <f>SUM(H331:H335)</f>
        <v>1295209.91</v>
      </c>
      <c r="I336" s="69"/>
      <c r="J336" s="69"/>
      <c r="K336" s="112"/>
      <c r="L336" s="112"/>
      <c r="M336" s="112"/>
      <c r="N336" s="112"/>
      <c r="O336" s="650">
        <f>SUM(O331:O335)</f>
        <v>1419684.4600000002</v>
      </c>
      <c r="P336" s="650">
        <f>SUM(P331:P335)</f>
        <v>1098180.21</v>
      </c>
      <c r="Q336" s="123">
        <f>SUM(Q331:Q335)</f>
        <v>1714827.6400000001</v>
      </c>
      <c r="R336" s="123">
        <f>SUM(R331:R335)</f>
        <v>787687.62</v>
      </c>
      <c r="S336" s="123">
        <f>SUM(S331:S335)</f>
        <v>1873997.5300000003</v>
      </c>
      <c r="T336" s="115"/>
      <c r="U336" s="115"/>
      <c r="V336" s="124">
        <f>SUM(V331:V335)</f>
        <v>1777011.5700000003</v>
      </c>
      <c r="W336" s="124">
        <f>SUM(W331:W335)</f>
        <v>1612090.9400000002</v>
      </c>
      <c r="X336" s="115"/>
      <c r="Y336" s="115"/>
      <c r="Z336" s="124">
        <f>SUM(Z331:Z335)</f>
        <v>1558274.3900000001</v>
      </c>
      <c r="AN336" s="449">
        <f>+P336-Q336</f>
        <v>-616647.4300000002</v>
      </c>
    </row>
    <row r="337" spans="2:26" ht="15">
      <c r="B337" s="60" t="s">
        <v>26</v>
      </c>
      <c r="C337" s="60"/>
      <c r="D337" s="60"/>
      <c r="E337" s="60"/>
      <c r="F337" s="60"/>
      <c r="G337" s="60"/>
      <c r="H337" s="61"/>
      <c r="I337" s="61"/>
      <c r="J337" s="61"/>
      <c r="K337" s="112"/>
      <c r="L337" s="112"/>
      <c r="M337" s="112"/>
      <c r="N337" s="112"/>
      <c r="O337" s="649"/>
      <c r="P337" s="649"/>
      <c r="Q337" s="128"/>
      <c r="R337" s="112"/>
      <c r="S337" s="112"/>
      <c r="T337" s="115"/>
      <c r="U337" s="115"/>
      <c r="V337" s="115"/>
      <c r="W337" s="114"/>
      <c r="X337" s="115"/>
      <c r="Y337" s="115"/>
      <c r="Z337" s="114"/>
    </row>
    <row r="338" spans="2:26" ht="15.75" thickBot="1">
      <c r="B338" s="60" t="s">
        <v>122</v>
      </c>
      <c r="C338" s="60"/>
      <c r="D338" s="60"/>
      <c r="E338" s="60"/>
      <c r="F338" s="60"/>
      <c r="G338" s="60"/>
      <c r="H338" s="63">
        <v>1209550.38</v>
      </c>
      <c r="I338" s="73"/>
      <c r="J338" s="73"/>
      <c r="K338" s="116"/>
      <c r="L338" s="116"/>
      <c r="M338" s="116"/>
      <c r="N338" s="116"/>
      <c r="O338" s="657">
        <f>+'Depreciación Acumulada'!E127</f>
        <v>1181792.55</v>
      </c>
      <c r="P338" s="657">
        <f>+'Depreciación Acumulada'!F127</f>
        <v>1040718.52</v>
      </c>
      <c r="Q338" s="86">
        <f>+'Depreciación Acumulada'!G127</f>
        <v>942124.8400000001</v>
      </c>
      <c r="R338" s="86">
        <f>+'Depreciación Acumulada'!H127</f>
        <v>765479.5</v>
      </c>
      <c r="S338" s="86">
        <f>+'Depreciación Acumulada'!I127</f>
        <v>1619664.07</v>
      </c>
      <c r="T338" s="278"/>
      <c r="U338" s="278"/>
      <c r="V338" s="284">
        <v>1517655.42</v>
      </c>
      <c r="W338" s="284">
        <v>1415646.77</v>
      </c>
      <c r="X338" s="278"/>
      <c r="Y338" s="278"/>
      <c r="Z338" s="284">
        <v>1301941.34</v>
      </c>
    </row>
    <row r="339" spans="2:26" ht="18">
      <c r="B339" s="109" t="s">
        <v>123</v>
      </c>
      <c r="C339" s="60"/>
      <c r="D339" s="60"/>
      <c r="E339" s="60"/>
      <c r="F339" s="60"/>
      <c r="G339" s="60"/>
      <c r="H339" s="72">
        <f>+H336-H338</f>
        <v>85659.53000000003</v>
      </c>
      <c r="I339" s="72"/>
      <c r="J339" s="72"/>
      <c r="K339" s="116"/>
      <c r="L339" s="116"/>
      <c r="M339" s="116"/>
      <c r="N339" s="116"/>
      <c r="O339" s="650">
        <f>+O336-O338</f>
        <v>237891.91000000015</v>
      </c>
      <c r="P339" s="650">
        <f>+P336-P338</f>
        <v>57461.689999999944</v>
      </c>
      <c r="Q339" s="123">
        <f>+Q336-Q338</f>
        <v>772702.8</v>
      </c>
      <c r="R339" s="123">
        <f>+R336-R338</f>
        <v>22208.119999999995</v>
      </c>
      <c r="S339" s="123">
        <f>+S336-S338</f>
        <v>254333.4600000002</v>
      </c>
      <c r="T339" s="278"/>
      <c r="U339" s="278"/>
      <c r="V339" s="124">
        <f>+V336-V338</f>
        <v>259356.15000000037</v>
      </c>
      <c r="W339" s="124">
        <f>+W336-W338</f>
        <v>196444.17000000016</v>
      </c>
      <c r="X339" s="278"/>
      <c r="Y339" s="278"/>
      <c r="Z339" s="124">
        <f>+Z336-Z338</f>
        <v>256333.05000000005</v>
      </c>
    </row>
    <row r="340" spans="2:26" ht="14.25">
      <c r="B340" s="12"/>
      <c r="C340" s="12"/>
      <c r="D340" s="12"/>
      <c r="E340" s="12"/>
      <c r="F340" s="12"/>
      <c r="G340" s="12"/>
      <c r="H340" s="12"/>
      <c r="I340" s="12"/>
      <c r="J340" s="12"/>
      <c r="W340" s="286"/>
      <c r="Z340" s="286"/>
    </row>
    <row r="341" spans="2:26" ht="14.25">
      <c r="B341" s="12"/>
      <c r="C341" s="12"/>
      <c r="D341" s="12"/>
      <c r="E341" s="12"/>
      <c r="F341" s="12"/>
      <c r="G341" s="12"/>
      <c r="H341" s="12"/>
      <c r="I341" s="12"/>
      <c r="J341" s="12"/>
      <c r="Q341" s="217" t="s">
        <v>642</v>
      </c>
      <c r="R341" s="217"/>
      <c r="S341" s="217"/>
      <c r="W341" s="286"/>
      <c r="Z341" s="286"/>
    </row>
    <row r="342" spans="2:51" s="456" customFormat="1" ht="14.25">
      <c r="B342" s="12"/>
      <c r="C342" s="12"/>
      <c r="D342" s="12"/>
      <c r="E342" s="12"/>
      <c r="F342" s="12"/>
      <c r="G342" s="12"/>
      <c r="H342" s="12"/>
      <c r="I342" s="12"/>
      <c r="J342" s="12"/>
      <c r="Q342" s="530"/>
      <c r="R342" s="530"/>
      <c r="S342" s="530"/>
      <c r="T342" s="462"/>
      <c r="U342" s="462"/>
      <c r="V342" s="462"/>
      <c r="W342" s="286"/>
      <c r="X342" s="462"/>
      <c r="Y342" s="462"/>
      <c r="Z342" s="286"/>
      <c r="AA342" s="462"/>
      <c r="AB342" s="462"/>
      <c r="AC342" s="462"/>
      <c r="AD342" s="462"/>
      <c r="AE342" s="462"/>
      <c r="AF342" s="462"/>
      <c r="AG342" s="462"/>
      <c r="AM342" s="462"/>
      <c r="AN342" s="332"/>
      <c r="AO342" s="462"/>
      <c r="AP342" s="462"/>
      <c r="AQ342" s="462"/>
      <c r="AR342" s="462"/>
      <c r="AS342" s="462"/>
      <c r="AT342" s="462"/>
      <c r="AU342" s="462"/>
      <c r="AV342" s="462"/>
      <c r="AW342" s="462"/>
      <c r="AX342" s="462"/>
      <c r="AY342" s="462"/>
    </row>
    <row r="343" spans="2:26" ht="18">
      <c r="B343" s="109" t="s">
        <v>135</v>
      </c>
      <c r="C343" s="12"/>
      <c r="D343" s="12"/>
      <c r="E343" s="12"/>
      <c r="F343" s="12"/>
      <c r="G343" s="12"/>
      <c r="H343" s="12"/>
      <c r="I343" s="12"/>
      <c r="J343" s="12"/>
      <c r="O343" s="32">
        <v>2023</v>
      </c>
      <c r="P343" s="32">
        <v>2022</v>
      </c>
      <c r="Q343" s="110">
        <v>2021</v>
      </c>
      <c r="R343" s="110">
        <v>2020</v>
      </c>
      <c r="S343" s="110">
        <v>2019</v>
      </c>
      <c r="V343" s="277">
        <v>2018</v>
      </c>
      <c r="W343" s="295">
        <v>2017</v>
      </c>
      <c r="Z343" s="286"/>
    </row>
    <row r="344" spans="2:26" ht="15">
      <c r="B344" s="60" t="s">
        <v>131</v>
      </c>
      <c r="C344" s="60"/>
      <c r="D344" s="60"/>
      <c r="E344" s="60"/>
      <c r="F344" s="60"/>
      <c r="G344" s="60"/>
      <c r="H344" s="61">
        <v>883894.77</v>
      </c>
      <c r="I344" s="61"/>
      <c r="J344" s="61"/>
      <c r="K344" s="112"/>
      <c r="L344" s="112"/>
      <c r="M344" s="112"/>
      <c r="N344" s="112"/>
      <c r="O344" s="670">
        <v>1163086.77</v>
      </c>
      <c r="P344" s="670">
        <v>921328.53</v>
      </c>
      <c r="Q344" s="67">
        <v>802168.55</v>
      </c>
      <c r="R344" s="67">
        <v>641095.57</v>
      </c>
      <c r="S344" s="67">
        <v>1303957.64</v>
      </c>
      <c r="T344" s="115"/>
      <c r="U344" s="115"/>
      <c r="V344" s="114">
        <v>1215985.63</v>
      </c>
      <c r="W344" s="114">
        <v>1111139.17</v>
      </c>
      <c r="X344" s="115"/>
      <c r="Y344" s="115"/>
      <c r="Z344" s="114">
        <v>1034462.77</v>
      </c>
    </row>
    <row r="345" spans="2:26" ht="15">
      <c r="B345" s="60" t="s">
        <v>46</v>
      </c>
      <c r="C345" s="60"/>
      <c r="D345" s="60"/>
      <c r="E345" s="60"/>
      <c r="F345" s="60"/>
      <c r="G345" s="60"/>
      <c r="H345" s="61">
        <v>215969.4</v>
      </c>
      <c r="I345" s="61"/>
      <c r="J345" s="61"/>
      <c r="K345" s="112"/>
      <c r="L345" s="112"/>
      <c r="M345" s="112"/>
      <c r="N345" s="112"/>
      <c r="O345" s="670">
        <v>164968.4</v>
      </c>
      <c r="P345" s="670">
        <v>164968.4</v>
      </c>
      <c r="Q345" s="67">
        <v>157770.4</v>
      </c>
      <c r="R345" s="67">
        <v>157770.4</v>
      </c>
      <c r="S345" s="67">
        <v>267981.4</v>
      </c>
      <c r="T345" s="115"/>
      <c r="U345" s="115"/>
      <c r="V345" s="114">
        <v>254244.4</v>
      </c>
      <c r="W345" s="114">
        <v>243714.4</v>
      </c>
      <c r="X345" s="115"/>
      <c r="Y345" s="115"/>
      <c r="Z345" s="114">
        <v>215969.4</v>
      </c>
    </row>
    <row r="346" spans="2:26" ht="15">
      <c r="B346" s="60" t="s">
        <v>132</v>
      </c>
      <c r="C346" s="60"/>
      <c r="D346" s="60"/>
      <c r="E346" s="60"/>
      <c r="F346" s="60"/>
      <c r="G346" s="60"/>
      <c r="H346" s="61">
        <v>1500</v>
      </c>
      <c r="I346" s="61"/>
      <c r="J346" s="61"/>
      <c r="K346" s="112"/>
      <c r="L346" s="112"/>
      <c r="M346" s="112"/>
      <c r="N346" s="112"/>
      <c r="O346" s="670">
        <v>880210.66</v>
      </c>
      <c r="P346" s="670">
        <v>880210.66</v>
      </c>
      <c r="Q346" s="67">
        <v>880210.66</v>
      </c>
      <c r="R346" s="67">
        <v>880210.66</v>
      </c>
      <c r="S346" s="67">
        <v>198281.94</v>
      </c>
      <c r="T346" s="115"/>
      <c r="U346" s="115"/>
      <c r="V346" s="114">
        <v>140625.62</v>
      </c>
      <c r="W346" s="114">
        <v>82075.62</v>
      </c>
      <c r="X346" s="115"/>
      <c r="Y346" s="115"/>
      <c r="Z346" s="114">
        <v>1500</v>
      </c>
    </row>
    <row r="347" spans="2:26" ht="15">
      <c r="B347" s="60" t="s">
        <v>48</v>
      </c>
      <c r="C347" s="60"/>
      <c r="D347" s="60"/>
      <c r="E347" s="60"/>
      <c r="F347" s="60"/>
      <c r="G347" s="60"/>
      <c r="H347" s="61">
        <v>153768.8</v>
      </c>
      <c r="I347" s="61"/>
      <c r="J347" s="61"/>
      <c r="K347" s="112"/>
      <c r="L347" s="112"/>
      <c r="M347" s="112"/>
      <c r="N347" s="112"/>
      <c r="O347" s="670">
        <v>191442.25</v>
      </c>
      <c r="P347" s="670">
        <v>191442.25</v>
      </c>
      <c r="Q347" s="67">
        <v>191442.25</v>
      </c>
      <c r="R347" s="67">
        <v>191442.25</v>
      </c>
      <c r="S347" s="67">
        <v>153768.8</v>
      </c>
      <c r="T347" s="115"/>
      <c r="U347" s="115"/>
      <c r="V347" s="114">
        <v>153768.8</v>
      </c>
      <c r="W347" s="114">
        <v>153768.8</v>
      </c>
      <c r="X347" s="115"/>
      <c r="Y347" s="115"/>
      <c r="Z347" s="114">
        <v>153768.8</v>
      </c>
    </row>
    <row r="348" spans="2:26" ht="15.75" thickBot="1">
      <c r="B348" s="60" t="s">
        <v>133</v>
      </c>
      <c r="C348" s="60"/>
      <c r="D348" s="60"/>
      <c r="E348" s="60"/>
      <c r="F348" s="60"/>
      <c r="G348" s="60"/>
      <c r="H348" s="63">
        <v>396208.51</v>
      </c>
      <c r="I348" s="62"/>
      <c r="J348" s="62"/>
      <c r="K348" s="112"/>
      <c r="L348" s="112"/>
      <c r="M348" s="112"/>
      <c r="N348" s="112"/>
      <c r="O348" s="671"/>
      <c r="P348" s="671"/>
      <c r="Q348" s="68">
        <v>0</v>
      </c>
      <c r="R348" s="68">
        <v>0</v>
      </c>
      <c r="S348" s="68">
        <v>396208.51</v>
      </c>
      <c r="T348" s="115"/>
      <c r="U348" s="115"/>
      <c r="V348" s="284">
        <v>396208.51</v>
      </c>
      <c r="W348" s="284">
        <v>396208.51</v>
      </c>
      <c r="X348" s="115"/>
      <c r="Y348" s="115"/>
      <c r="Z348" s="284">
        <v>396208.51</v>
      </c>
    </row>
    <row r="349" spans="2:40" ht="15">
      <c r="B349" s="60"/>
      <c r="C349" s="60"/>
      <c r="D349" s="60"/>
      <c r="E349" s="60"/>
      <c r="F349" s="60"/>
      <c r="G349" s="60"/>
      <c r="H349" s="69">
        <f>SUM(H344:H348)</f>
        <v>1651341.48</v>
      </c>
      <c r="I349" s="69"/>
      <c r="J349" s="69"/>
      <c r="K349" s="112"/>
      <c r="L349" s="112"/>
      <c r="M349" s="112"/>
      <c r="N349" s="112"/>
      <c r="O349" s="650">
        <f>SUM(O344:O348)</f>
        <v>2399708.08</v>
      </c>
      <c r="P349" s="650">
        <f>SUM(P344:P348)</f>
        <v>2157949.84</v>
      </c>
      <c r="Q349" s="123">
        <f>SUM(Q344:Q348)</f>
        <v>2031591.86</v>
      </c>
      <c r="R349" s="123">
        <f>SUM(R344:R348)</f>
        <v>1870518.88</v>
      </c>
      <c r="S349" s="123">
        <f>SUM(S344:S348)</f>
        <v>2320198.29</v>
      </c>
      <c r="T349" s="115"/>
      <c r="U349" s="115"/>
      <c r="V349" s="124">
        <f>SUM(V344:V348)</f>
        <v>2160832.96</v>
      </c>
      <c r="W349" s="124">
        <f>SUM(W344:W348)</f>
        <v>1986906.5</v>
      </c>
      <c r="X349" s="115"/>
      <c r="Y349" s="115"/>
      <c r="Z349" s="124">
        <f>SUM(Z344:Z348)</f>
        <v>1801909.48</v>
      </c>
      <c r="AN349" s="449">
        <f>+P349-Q349</f>
        <v>126357.97999999975</v>
      </c>
    </row>
    <row r="350" spans="2:26" ht="15">
      <c r="B350" s="60" t="s">
        <v>26</v>
      </c>
      <c r="C350" s="60"/>
      <c r="D350" s="60"/>
      <c r="E350" s="60"/>
      <c r="F350" s="60"/>
      <c r="G350" s="60"/>
      <c r="H350" s="73"/>
      <c r="I350" s="73"/>
      <c r="J350" s="73"/>
      <c r="K350" s="112"/>
      <c r="L350" s="112"/>
      <c r="M350" s="112"/>
      <c r="N350" s="112"/>
      <c r="O350" s="649"/>
      <c r="P350" s="649"/>
      <c r="Q350" s="128"/>
      <c r="R350" s="112"/>
      <c r="S350" s="112"/>
      <c r="T350" s="115"/>
      <c r="U350" s="115"/>
      <c r="V350" s="115"/>
      <c r="W350" s="114"/>
      <c r="X350" s="115"/>
      <c r="Y350" s="115"/>
      <c r="Z350" s="114"/>
    </row>
    <row r="351" spans="2:28" ht="15.75" thickBot="1">
      <c r="B351" s="60" t="s">
        <v>122</v>
      </c>
      <c r="C351" s="60"/>
      <c r="D351" s="60"/>
      <c r="E351" s="60"/>
      <c r="F351" s="60"/>
      <c r="G351" s="60"/>
      <c r="H351" s="63">
        <v>1443171.84</v>
      </c>
      <c r="I351" s="73"/>
      <c r="J351" s="73"/>
      <c r="K351" s="116"/>
      <c r="L351" s="116"/>
      <c r="M351" s="116"/>
      <c r="N351" s="116"/>
      <c r="O351" s="657">
        <f>+'Depreciación Acumulada'!E116</f>
        <v>1911241.4100000001</v>
      </c>
      <c r="P351" s="657">
        <f>+'Depreciación Acumulada'!F116</f>
        <v>1809410.37</v>
      </c>
      <c r="Q351" s="86">
        <f>+'Depreciación Acumulada'!G116</f>
        <v>1748061.5999999999</v>
      </c>
      <c r="R351" s="86">
        <f>+'Depreciación Acumulada'!H116</f>
        <v>1668993.77</v>
      </c>
      <c r="S351" s="86">
        <f>+'Depreciación Acumulada'!I116</f>
        <v>1976985.67</v>
      </c>
      <c r="T351" s="278"/>
      <c r="U351" s="278"/>
      <c r="V351" s="284">
        <v>1852181.93</v>
      </c>
      <c r="W351" s="284">
        <v>1727378.19</v>
      </c>
      <c r="X351" s="278"/>
      <c r="Y351" s="278"/>
      <c r="Z351" s="284">
        <v>1593692.25</v>
      </c>
      <c r="AA351" s="285"/>
      <c r="AB351" s="285"/>
    </row>
    <row r="352" spans="2:26" ht="15">
      <c r="B352" s="72" t="s">
        <v>123</v>
      </c>
      <c r="C352" s="60"/>
      <c r="D352" s="60"/>
      <c r="E352" s="60"/>
      <c r="F352" s="60"/>
      <c r="G352" s="60"/>
      <c r="H352" s="69">
        <f>+H349-H351</f>
        <v>208169.6399999999</v>
      </c>
      <c r="I352" s="69"/>
      <c r="J352" s="69"/>
      <c r="K352" s="112"/>
      <c r="L352" s="112"/>
      <c r="M352" s="112"/>
      <c r="N352" s="112"/>
      <c r="O352" s="650">
        <f>+O349-O351</f>
        <v>488466.6699999999</v>
      </c>
      <c r="P352" s="650">
        <f>+P349-P351</f>
        <v>348539.46999999974</v>
      </c>
      <c r="Q352" s="123">
        <f>+Q349-Q351</f>
        <v>283530.26000000024</v>
      </c>
      <c r="R352" s="123">
        <f>+R349-R351</f>
        <v>201525.10999999987</v>
      </c>
      <c r="S352" s="123">
        <f>+S349-S351</f>
        <v>343212.6200000001</v>
      </c>
      <c r="T352" s="115"/>
      <c r="U352" s="115"/>
      <c r="V352" s="124">
        <f>+V349-V351</f>
        <v>308651.03</v>
      </c>
      <c r="W352" s="124">
        <f>+W349-W351</f>
        <v>259528.31000000006</v>
      </c>
      <c r="X352" s="115"/>
      <c r="Y352" s="115"/>
      <c r="Z352" s="124">
        <f>+Z349-Z351</f>
        <v>208217.22999999998</v>
      </c>
    </row>
    <row r="353" spans="2:26" ht="14.25">
      <c r="B353" s="12"/>
      <c r="C353" s="12"/>
      <c r="D353" s="12"/>
      <c r="E353" s="12"/>
      <c r="F353" s="12"/>
      <c r="G353" s="12"/>
      <c r="H353" s="6"/>
      <c r="I353" s="6"/>
      <c r="J353" s="6"/>
      <c r="Z353" s="286"/>
    </row>
    <row r="354" spans="2:10" ht="14.25">
      <c r="B354" s="12"/>
      <c r="C354" s="12"/>
      <c r="D354" s="12"/>
      <c r="E354" s="12"/>
      <c r="F354" s="12"/>
      <c r="G354" s="12"/>
      <c r="H354" s="6"/>
      <c r="I354" s="6"/>
      <c r="J354" s="6"/>
    </row>
    <row r="355" spans="2:26" ht="14.25">
      <c r="B355" s="12"/>
      <c r="C355" s="12"/>
      <c r="D355" s="12"/>
      <c r="E355" s="12"/>
      <c r="F355" s="12"/>
      <c r="G355" s="12"/>
      <c r="H355" s="6"/>
      <c r="I355" s="6"/>
      <c r="J355" s="6"/>
      <c r="Q355" s="522" t="s">
        <v>642</v>
      </c>
      <c r="R355" s="522"/>
      <c r="S355" s="217"/>
      <c r="Z355" s="286"/>
    </row>
    <row r="356" spans="2:26" ht="18">
      <c r="B356" s="109" t="s">
        <v>136</v>
      </c>
      <c r="C356" s="12"/>
      <c r="D356" s="12"/>
      <c r="E356" s="12"/>
      <c r="F356" s="12"/>
      <c r="G356" s="12"/>
      <c r="H356" s="12"/>
      <c r="I356" s="6"/>
      <c r="J356" s="6"/>
      <c r="O356" s="32">
        <v>2023</v>
      </c>
      <c r="P356" s="32">
        <v>2022</v>
      </c>
      <c r="Q356" s="110">
        <v>2021</v>
      </c>
      <c r="R356" s="110">
        <v>2020</v>
      </c>
      <c r="S356" s="110">
        <v>2019</v>
      </c>
      <c r="V356" s="277">
        <v>2018</v>
      </c>
      <c r="W356" s="295">
        <v>2017</v>
      </c>
      <c r="X356" s="300"/>
      <c r="Y356" s="300"/>
      <c r="Z356" s="295">
        <v>2016</v>
      </c>
    </row>
    <row r="357" spans="2:26" ht="15">
      <c r="B357" s="60" t="s">
        <v>131</v>
      </c>
      <c r="C357" s="60"/>
      <c r="D357" s="60"/>
      <c r="E357" s="60"/>
      <c r="F357" s="60"/>
      <c r="G357" s="60"/>
      <c r="H357" s="61">
        <v>87839.99</v>
      </c>
      <c r="I357" s="61"/>
      <c r="J357" s="61"/>
      <c r="K357" s="112"/>
      <c r="L357" s="112"/>
      <c r="M357" s="112"/>
      <c r="N357" s="112"/>
      <c r="O357" s="670">
        <v>210090.84</v>
      </c>
      <c r="P357" s="670">
        <v>151059.84</v>
      </c>
      <c r="Q357" s="67">
        <v>90217.84</v>
      </c>
      <c r="R357" s="67">
        <v>90217.84</v>
      </c>
      <c r="S357" s="67">
        <v>163123.99</v>
      </c>
      <c r="T357" s="115"/>
      <c r="U357" s="115"/>
      <c r="V357" s="114">
        <v>163123.99</v>
      </c>
      <c r="W357" s="114">
        <v>163123.99</v>
      </c>
      <c r="X357" s="115"/>
      <c r="Y357" s="115"/>
      <c r="Z357" s="114">
        <v>163123.99</v>
      </c>
    </row>
    <row r="358" spans="2:26" ht="15">
      <c r="B358" s="60" t="s">
        <v>46</v>
      </c>
      <c r="C358" s="60"/>
      <c r="D358" s="60"/>
      <c r="E358" s="60"/>
      <c r="F358" s="60"/>
      <c r="G358" s="60"/>
      <c r="H358" s="61">
        <v>111770.97</v>
      </c>
      <c r="I358" s="61"/>
      <c r="J358" s="61"/>
      <c r="K358" s="112"/>
      <c r="L358" s="112"/>
      <c r="M358" s="112"/>
      <c r="N358" s="112"/>
      <c r="O358" s="670">
        <v>118827.49</v>
      </c>
      <c r="P358" s="670">
        <v>67951.98</v>
      </c>
      <c r="Q358" s="67">
        <v>46926.98</v>
      </c>
      <c r="R358" s="67">
        <v>46926.98</v>
      </c>
      <c r="S358" s="67">
        <v>134070.96</v>
      </c>
      <c r="T358" s="115"/>
      <c r="U358" s="115"/>
      <c r="V358" s="114">
        <v>134070.96</v>
      </c>
      <c r="W358" s="114">
        <v>134070.96</v>
      </c>
      <c r="X358" s="115"/>
      <c r="Y358" s="115"/>
      <c r="Z358" s="114">
        <v>134070.96</v>
      </c>
    </row>
    <row r="359" spans="2:26" ht="15" hidden="1">
      <c r="B359" s="60" t="s">
        <v>132</v>
      </c>
      <c r="C359" s="60"/>
      <c r="D359" s="60"/>
      <c r="E359" s="60"/>
      <c r="F359" s="60"/>
      <c r="G359" s="60"/>
      <c r="H359" s="61">
        <v>0</v>
      </c>
      <c r="I359" s="61"/>
      <c r="J359" s="61"/>
      <c r="K359" s="112"/>
      <c r="L359" s="112"/>
      <c r="M359" s="112"/>
      <c r="N359" s="112"/>
      <c r="O359" s="670"/>
      <c r="P359" s="670"/>
      <c r="Q359" s="67">
        <v>0</v>
      </c>
      <c r="R359" s="67">
        <v>0</v>
      </c>
      <c r="S359" s="67">
        <v>29274.99</v>
      </c>
      <c r="T359" s="115"/>
      <c r="U359" s="115"/>
      <c r="V359" s="114">
        <v>29274.99</v>
      </c>
      <c r="W359" s="114"/>
      <c r="X359" s="115"/>
      <c r="Y359" s="115"/>
      <c r="Z359" s="114"/>
    </row>
    <row r="360" spans="2:26" ht="15.75" thickBot="1">
      <c r="B360" s="60" t="s">
        <v>48</v>
      </c>
      <c r="C360" s="60"/>
      <c r="D360" s="60"/>
      <c r="E360" s="60"/>
      <c r="F360" s="60"/>
      <c r="G360" s="60"/>
      <c r="H360" s="63">
        <v>30503.69</v>
      </c>
      <c r="I360" s="61"/>
      <c r="J360" s="61"/>
      <c r="K360" s="112"/>
      <c r="L360" s="112"/>
      <c r="M360" s="112"/>
      <c r="N360" s="112"/>
      <c r="O360" s="671">
        <v>41866.52</v>
      </c>
      <c r="P360" s="671">
        <v>41866.52</v>
      </c>
      <c r="Q360" s="68">
        <v>41866.52</v>
      </c>
      <c r="R360" s="68">
        <v>41866.52</v>
      </c>
      <c r="S360" s="68">
        <v>30503.69</v>
      </c>
      <c r="T360" s="115"/>
      <c r="U360" s="115"/>
      <c r="V360" s="284">
        <v>30503.69</v>
      </c>
      <c r="W360" s="284">
        <v>30503.69</v>
      </c>
      <c r="X360" s="115"/>
      <c r="Y360" s="115"/>
      <c r="Z360" s="284">
        <v>30503.69</v>
      </c>
    </row>
    <row r="361" spans="2:26" ht="15.75" hidden="1" thickBot="1">
      <c r="B361" s="60" t="s">
        <v>133</v>
      </c>
      <c r="C361" s="60"/>
      <c r="D361" s="60"/>
      <c r="E361" s="60"/>
      <c r="F361" s="60"/>
      <c r="G361" s="60"/>
      <c r="H361" s="63">
        <v>0</v>
      </c>
      <c r="I361" s="61"/>
      <c r="J361" s="61"/>
      <c r="K361" s="112"/>
      <c r="L361" s="112"/>
      <c r="M361" s="112"/>
      <c r="N361" s="112"/>
      <c r="O361" s="649"/>
      <c r="P361" s="658"/>
      <c r="Q361" s="199"/>
      <c r="R361" s="75"/>
      <c r="S361" s="75"/>
      <c r="T361" s="115"/>
      <c r="U361" s="115"/>
      <c r="V361" s="114"/>
      <c r="W361" s="114"/>
      <c r="X361" s="115"/>
      <c r="Y361" s="115"/>
      <c r="Z361" s="114"/>
    </row>
    <row r="362" spans="2:40" ht="15">
      <c r="B362" s="60"/>
      <c r="C362" s="60"/>
      <c r="D362" s="60"/>
      <c r="E362" s="60"/>
      <c r="F362" s="60"/>
      <c r="G362" s="60"/>
      <c r="H362" s="69">
        <f>SUM(H357:H361)</f>
        <v>230114.65000000002</v>
      </c>
      <c r="I362" s="61"/>
      <c r="J362" s="61"/>
      <c r="K362" s="112"/>
      <c r="L362" s="112"/>
      <c r="M362" s="112"/>
      <c r="N362" s="112"/>
      <c r="O362" s="650">
        <f>SUM(O357:O360)</f>
        <v>370784.85000000003</v>
      </c>
      <c r="P362" s="650">
        <f>SUM(P357:P360)</f>
        <v>260878.34</v>
      </c>
      <c r="Q362" s="123">
        <f>SUM(Q357:Q360)</f>
        <v>179011.34</v>
      </c>
      <c r="R362" s="123">
        <f>SUM(R357:R360)</f>
        <v>179011.34</v>
      </c>
      <c r="S362" s="123">
        <f>SUM(S357:S360)</f>
        <v>356973.62999999995</v>
      </c>
      <c r="T362" s="115"/>
      <c r="U362" s="115"/>
      <c r="V362" s="124">
        <f>SUM(V357:V360)</f>
        <v>356973.62999999995</v>
      </c>
      <c r="W362" s="124">
        <f>SUM(W357:W360)</f>
        <v>327698.63999999996</v>
      </c>
      <c r="X362" s="115"/>
      <c r="Y362" s="115"/>
      <c r="Z362" s="124">
        <f>SUM(Z357:Z360)</f>
        <v>327698.63999999996</v>
      </c>
      <c r="AN362" s="449">
        <f>+P362-Q362</f>
        <v>81867</v>
      </c>
    </row>
    <row r="363" spans="2:26" ht="15">
      <c r="B363" s="60" t="s">
        <v>26</v>
      </c>
      <c r="C363" s="60"/>
      <c r="D363" s="60"/>
      <c r="E363" s="60"/>
      <c r="F363" s="60"/>
      <c r="G363" s="60"/>
      <c r="H363" s="73"/>
      <c r="I363" s="61"/>
      <c r="J363" s="61"/>
      <c r="K363" s="112"/>
      <c r="L363" s="112"/>
      <c r="M363" s="112"/>
      <c r="N363" s="112"/>
      <c r="O363" s="649"/>
      <c r="P363" s="649"/>
      <c r="Q363" s="128"/>
      <c r="R363" s="112"/>
      <c r="S363" s="112"/>
      <c r="T363" s="115"/>
      <c r="U363" s="115"/>
      <c r="V363" s="115"/>
      <c r="W363" s="114"/>
      <c r="X363" s="115"/>
      <c r="Y363" s="115"/>
      <c r="Z363" s="114"/>
    </row>
    <row r="364" spans="2:26" ht="15.75" thickBot="1">
      <c r="B364" s="60" t="s">
        <v>122</v>
      </c>
      <c r="C364" s="60"/>
      <c r="D364" s="60"/>
      <c r="E364" s="60"/>
      <c r="F364" s="60"/>
      <c r="G364" s="60"/>
      <c r="H364" s="63">
        <v>212351.74</v>
      </c>
      <c r="I364" s="61"/>
      <c r="J364" s="61"/>
      <c r="K364" s="112"/>
      <c r="L364" s="112"/>
      <c r="M364" s="112"/>
      <c r="N364" s="112"/>
      <c r="O364" s="657">
        <f>+'Depreciación Acumulada'!E138</f>
        <v>230052.36</v>
      </c>
      <c r="P364" s="657">
        <f>+'Depreciación Acumulada'!F138</f>
        <v>168502.02</v>
      </c>
      <c r="Q364" s="86">
        <f>+'Depreciación Acumulada'!G138</f>
        <v>168502.02</v>
      </c>
      <c r="R364" s="86">
        <f>+'Depreciación Acumulada'!H138</f>
        <v>168502.02</v>
      </c>
      <c r="S364" s="86">
        <f>+'Depreciación Acumulada'!I138</f>
        <v>322124.69999999995</v>
      </c>
      <c r="T364" s="115"/>
      <c r="U364" s="115"/>
      <c r="V364" s="284">
        <v>293459.43</v>
      </c>
      <c r="W364" s="284">
        <v>264794.16</v>
      </c>
      <c r="X364" s="115"/>
      <c r="Y364" s="115"/>
      <c r="Z364" s="284">
        <v>240398.16</v>
      </c>
    </row>
    <row r="365" spans="2:26" ht="18">
      <c r="B365" s="109" t="s">
        <v>123</v>
      </c>
      <c r="C365" s="60"/>
      <c r="D365" s="60"/>
      <c r="E365" s="60"/>
      <c r="F365" s="60"/>
      <c r="G365" s="60"/>
      <c r="H365" s="69">
        <f>+H362-H364</f>
        <v>17762.910000000033</v>
      </c>
      <c r="I365" s="61"/>
      <c r="J365" s="61"/>
      <c r="K365" s="112"/>
      <c r="L365" s="112"/>
      <c r="M365" s="112"/>
      <c r="N365" s="112"/>
      <c r="O365" s="650">
        <f>+O362-O364</f>
        <v>140732.49000000005</v>
      </c>
      <c r="P365" s="650">
        <f>+P362-P364</f>
        <v>92376.32</v>
      </c>
      <c r="Q365" s="123">
        <f>+Q362-Q364</f>
        <v>10509.320000000007</v>
      </c>
      <c r="R365" s="123">
        <f>+R362-R364</f>
        <v>10509.320000000007</v>
      </c>
      <c r="S365" s="123">
        <f>+S362-S364</f>
        <v>34848.92999999999</v>
      </c>
      <c r="T365" s="115"/>
      <c r="U365" s="115"/>
      <c r="V365" s="124">
        <f>+V362-V364</f>
        <v>63514.19999999995</v>
      </c>
      <c r="W365" s="124">
        <f>+W362-W364</f>
        <v>62904.47999999998</v>
      </c>
      <c r="X365" s="115"/>
      <c r="Y365" s="115"/>
      <c r="Z365" s="124">
        <f>+Z362-Z364</f>
        <v>87300.47999999995</v>
      </c>
    </row>
    <row r="366" spans="2:26" ht="15">
      <c r="B366" s="60"/>
      <c r="C366" s="60"/>
      <c r="D366" s="60"/>
      <c r="E366" s="60"/>
      <c r="F366" s="60"/>
      <c r="G366" s="60"/>
      <c r="H366" s="61"/>
      <c r="I366" s="61"/>
      <c r="J366" s="61"/>
      <c r="K366" s="112"/>
      <c r="L366" s="112"/>
      <c r="M366" s="112"/>
      <c r="N366" s="112"/>
      <c r="O366" s="461"/>
      <c r="P366" s="128"/>
      <c r="Q366" s="128"/>
      <c r="R366" s="112"/>
      <c r="S366" s="112"/>
      <c r="T366" s="115"/>
      <c r="U366" s="115"/>
      <c r="V366" s="115"/>
      <c r="W366" s="114"/>
      <c r="X366" s="115"/>
      <c r="Y366" s="115"/>
      <c r="Z366" s="114"/>
    </row>
    <row r="367" spans="2:26" ht="15">
      <c r="B367" s="60"/>
      <c r="C367" s="60"/>
      <c r="D367" s="60"/>
      <c r="E367" s="60"/>
      <c r="F367" s="60"/>
      <c r="G367" s="60"/>
      <c r="H367" s="61"/>
      <c r="I367" s="61"/>
      <c r="J367" s="61"/>
      <c r="K367" s="112"/>
      <c r="L367" s="112"/>
      <c r="M367" s="112"/>
      <c r="N367" s="112"/>
      <c r="O367" s="461"/>
      <c r="Q367" s="522" t="s">
        <v>642</v>
      </c>
      <c r="R367" s="522"/>
      <c r="S367" s="217"/>
      <c r="T367" s="115"/>
      <c r="U367" s="115"/>
      <c r="V367" s="115"/>
      <c r="W367" s="114"/>
      <c r="X367" s="115"/>
      <c r="Y367" s="115"/>
      <c r="Z367" s="114"/>
    </row>
    <row r="368" spans="2:26" ht="18">
      <c r="B368" s="109" t="s">
        <v>613</v>
      </c>
      <c r="C368" s="60"/>
      <c r="D368" s="60"/>
      <c r="E368" s="60"/>
      <c r="F368" s="60"/>
      <c r="G368" s="60"/>
      <c r="H368" s="60"/>
      <c r="I368" s="61"/>
      <c r="J368" s="61"/>
      <c r="K368" s="112"/>
      <c r="L368" s="112"/>
      <c r="M368" s="112"/>
      <c r="N368" s="112"/>
      <c r="O368" s="32">
        <v>2023</v>
      </c>
      <c r="P368" s="32">
        <v>2022</v>
      </c>
      <c r="Q368" s="110">
        <v>2021</v>
      </c>
      <c r="R368" s="110">
        <v>2020</v>
      </c>
      <c r="S368" s="110">
        <v>2019</v>
      </c>
      <c r="T368" s="115"/>
      <c r="U368" s="115"/>
      <c r="V368" s="115"/>
      <c r="W368" s="114"/>
      <c r="X368" s="115"/>
      <c r="Y368" s="115"/>
      <c r="Z368" s="114"/>
    </row>
    <row r="369" spans="2:51" s="456" customFormat="1" ht="18">
      <c r="B369" s="60" t="s">
        <v>131</v>
      </c>
      <c r="C369" s="60"/>
      <c r="D369" s="60"/>
      <c r="E369" s="60"/>
      <c r="F369" s="60"/>
      <c r="G369" s="60"/>
      <c r="H369" s="60"/>
      <c r="I369" s="61"/>
      <c r="J369" s="61"/>
      <c r="K369" s="461"/>
      <c r="L369" s="461"/>
      <c r="M369" s="461"/>
      <c r="N369" s="461"/>
      <c r="O369" s="670">
        <v>59031</v>
      </c>
      <c r="P369" s="675"/>
      <c r="Q369" s="110"/>
      <c r="R369" s="110"/>
      <c r="S369" s="110"/>
      <c r="T369" s="115"/>
      <c r="U369" s="115"/>
      <c r="V369" s="115"/>
      <c r="W369" s="114"/>
      <c r="X369" s="115"/>
      <c r="Y369" s="115"/>
      <c r="Z369" s="114"/>
      <c r="AA369" s="462"/>
      <c r="AB369" s="462"/>
      <c r="AC369" s="462"/>
      <c r="AD369" s="462"/>
      <c r="AE369" s="462"/>
      <c r="AF369" s="462"/>
      <c r="AG369" s="462"/>
      <c r="AM369" s="462"/>
      <c r="AN369" s="332"/>
      <c r="AO369" s="462"/>
      <c r="AP369" s="462"/>
      <c r="AQ369" s="462"/>
      <c r="AR369" s="462"/>
      <c r="AS369" s="462"/>
      <c r="AT369" s="462"/>
      <c r="AU369" s="462"/>
      <c r="AV369" s="462"/>
      <c r="AW369" s="462"/>
      <c r="AX369" s="462"/>
      <c r="AY369" s="462"/>
    </row>
    <row r="370" spans="2:40" ht="15.75" thickBot="1">
      <c r="B370" s="60" t="s">
        <v>133</v>
      </c>
      <c r="C370" s="60"/>
      <c r="D370" s="60"/>
      <c r="E370" s="60"/>
      <c r="F370" s="60"/>
      <c r="G370" s="60"/>
      <c r="H370" s="63">
        <v>0</v>
      </c>
      <c r="I370" s="61"/>
      <c r="J370" s="61"/>
      <c r="K370" s="112"/>
      <c r="L370" s="112"/>
      <c r="M370" s="112"/>
      <c r="N370" s="112"/>
      <c r="O370" s="670">
        <v>135791.45</v>
      </c>
      <c r="P370" s="670">
        <v>135791.45</v>
      </c>
      <c r="Q370" s="67">
        <v>135791.45</v>
      </c>
      <c r="R370" s="67">
        <v>1436.46</v>
      </c>
      <c r="S370" s="67">
        <v>7000</v>
      </c>
      <c r="T370" s="115"/>
      <c r="U370" s="115"/>
      <c r="V370" s="308">
        <v>0</v>
      </c>
      <c r="W370" s="114"/>
      <c r="X370" s="115"/>
      <c r="Y370" s="115"/>
      <c r="Z370" s="114"/>
      <c r="AN370" s="449">
        <f>+P370-Q370</f>
        <v>0</v>
      </c>
    </row>
    <row r="371" spans="2:26" ht="15">
      <c r="B371" s="60"/>
      <c r="C371" s="60"/>
      <c r="D371" s="60"/>
      <c r="E371" s="60"/>
      <c r="F371" s="60"/>
      <c r="G371" s="60"/>
      <c r="H371" s="69">
        <f>SUM(H370:H370)</f>
        <v>0</v>
      </c>
      <c r="I371" s="61"/>
      <c r="J371" s="61"/>
      <c r="K371" s="112"/>
      <c r="L371" s="112"/>
      <c r="M371" s="112"/>
      <c r="N371" s="112"/>
      <c r="O371" s="649"/>
      <c r="P371" s="649"/>
      <c r="Q371" s="128"/>
      <c r="R371" s="112"/>
      <c r="S371" s="112"/>
      <c r="T371" s="115"/>
      <c r="U371" s="115"/>
      <c r="V371" s="308"/>
      <c r="W371" s="114"/>
      <c r="X371" s="115"/>
      <c r="Y371" s="115"/>
      <c r="Z371" s="114"/>
    </row>
    <row r="372" spans="2:26" ht="15">
      <c r="B372" s="60" t="s">
        <v>26</v>
      </c>
      <c r="C372" s="60"/>
      <c r="D372" s="60"/>
      <c r="E372" s="60"/>
      <c r="F372" s="60"/>
      <c r="G372" s="60"/>
      <c r="H372" s="73"/>
      <c r="I372" s="61"/>
      <c r="J372" s="61"/>
      <c r="K372" s="112"/>
      <c r="L372" s="112"/>
      <c r="M372" s="112"/>
      <c r="N372" s="112"/>
      <c r="O372" s="649"/>
      <c r="P372" s="649"/>
      <c r="Q372" s="128"/>
      <c r="R372" s="112"/>
      <c r="S372" s="112"/>
      <c r="T372" s="115"/>
      <c r="U372" s="115"/>
      <c r="V372" s="308"/>
      <c r="W372" s="114"/>
      <c r="X372" s="115"/>
      <c r="Y372" s="115"/>
      <c r="Z372" s="114"/>
    </row>
    <row r="373" spans="2:26" ht="15.75" thickBot="1">
      <c r="B373" s="60" t="s">
        <v>122</v>
      </c>
      <c r="C373" s="60"/>
      <c r="D373" s="60"/>
      <c r="E373" s="60"/>
      <c r="F373" s="60"/>
      <c r="G373" s="60"/>
      <c r="H373" s="63"/>
      <c r="I373" s="61"/>
      <c r="J373" s="61"/>
      <c r="K373" s="112"/>
      <c r="L373" s="112"/>
      <c r="M373" s="112"/>
      <c r="N373" s="112"/>
      <c r="O373" s="672">
        <f>+'Depreciación Acumulada'!E144</f>
        <v>67409.25</v>
      </c>
      <c r="P373" s="672">
        <f>+'Depreciación Acumulada'!F144</f>
        <v>67409.25</v>
      </c>
      <c r="Q373" s="138">
        <f>+'Depreciación Acumulada'!G143</f>
        <v>52805.36</v>
      </c>
      <c r="R373" s="138">
        <f>+'Depreciación Acumulada'!H143</f>
        <v>1436.4599999999991</v>
      </c>
      <c r="S373" s="138">
        <f>+'Depreciación Acumulada'!I144</f>
        <v>437.5</v>
      </c>
      <c r="T373" s="115"/>
      <c r="U373" s="115"/>
      <c r="V373" s="309"/>
      <c r="W373" s="114"/>
      <c r="X373" s="115"/>
      <c r="Y373" s="115"/>
      <c r="Z373" s="114"/>
    </row>
    <row r="374" spans="2:40" ht="15">
      <c r="B374" s="72" t="s">
        <v>123</v>
      </c>
      <c r="C374" s="60"/>
      <c r="D374" s="60"/>
      <c r="E374" s="60"/>
      <c r="F374" s="60"/>
      <c r="G374" s="60"/>
      <c r="H374" s="69">
        <f>+H371-H373</f>
        <v>0</v>
      </c>
      <c r="I374" s="61"/>
      <c r="J374" s="61"/>
      <c r="K374" s="112"/>
      <c r="L374" s="112"/>
      <c r="M374" s="112"/>
      <c r="N374" s="112"/>
      <c r="O374" s="676">
        <f>+O369+O370-O373</f>
        <v>127413.20000000001</v>
      </c>
      <c r="P374" s="676">
        <f>+P370-P373</f>
        <v>68382.20000000001</v>
      </c>
      <c r="Q374" s="142">
        <f>+Q370-Q373</f>
        <v>82986.09000000001</v>
      </c>
      <c r="R374" s="142">
        <f>+R370-R373</f>
        <v>0</v>
      </c>
      <c r="S374" s="142">
        <f>+S370-S373</f>
        <v>6562.5</v>
      </c>
      <c r="T374" s="115"/>
      <c r="U374" s="115"/>
      <c r="V374" s="310">
        <f>+V370-V373</f>
        <v>0</v>
      </c>
      <c r="W374" s="114"/>
      <c r="X374" s="115"/>
      <c r="Y374" s="115"/>
      <c r="Z374" s="114"/>
      <c r="AN374" s="476"/>
    </row>
    <row r="375" spans="2:26" ht="15">
      <c r="B375" s="72"/>
      <c r="C375" s="60"/>
      <c r="D375" s="60"/>
      <c r="E375" s="60"/>
      <c r="F375" s="60"/>
      <c r="G375" s="60"/>
      <c r="H375" s="69"/>
      <c r="I375" s="61"/>
      <c r="J375" s="61"/>
      <c r="K375" s="112"/>
      <c r="L375" s="112"/>
      <c r="M375" s="112"/>
      <c r="N375" s="112"/>
      <c r="O375" s="461"/>
      <c r="P375" s="128"/>
      <c r="Q375" s="128"/>
      <c r="R375" s="112"/>
      <c r="S375" s="142"/>
      <c r="T375" s="115"/>
      <c r="U375" s="115"/>
      <c r="V375" s="310"/>
      <c r="W375" s="114"/>
      <c r="X375" s="115"/>
      <c r="Y375" s="115"/>
      <c r="Z375" s="114"/>
    </row>
    <row r="376" spans="2:26" ht="15">
      <c r="B376" s="72"/>
      <c r="C376" s="60"/>
      <c r="D376" s="60"/>
      <c r="E376" s="60"/>
      <c r="F376" s="60"/>
      <c r="G376" s="60"/>
      <c r="H376" s="69"/>
      <c r="I376" s="61"/>
      <c r="J376" s="61"/>
      <c r="K376" s="112"/>
      <c r="L376" s="112"/>
      <c r="M376" s="112"/>
      <c r="N376" s="112"/>
      <c r="O376" s="461"/>
      <c r="P376" s="3"/>
      <c r="Q376" s="522" t="s">
        <v>642</v>
      </c>
      <c r="R376" s="522"/>
      <c r="S376" s="217"/>
      <c r="T376" s="115"/>
      <c r="U376" s="115"/>
      <c r="V376" s="310"/>
      <c r="W376" s="114"/>
      <c r="X376" s="115"/>
      <c r="Y376" s="115"/>
      <c r="Z376" s="114"/>
    </row>
    <row r="377" spans="2:26" ht="18">
      <c r="B377" s="72"/>
      <c r="C377" s="60"/>
      <c r="D377" s="60"/>
      <c r="E377" s="60"/>
      <c r="F377" s="60"/>
      <c r="G377" s="60"/>
      <c r="H377" s="69"/>
      <c r="I377" s="61"/>
      <c r="J377" s="61"/>
      <c r="K377" s="112"/>
      <c r="L377" s="112"/>
      <c r="M377" s="112"/>
      <c r="N377" s="112"/>
      <c r="O377" s="32">
        <v>2023</v>
      </c>
      <c r="P377" s="32">
        <v>2022</v>
      </c>
      <c r="Q377" s="110">
        <v>2021</v>
      </c>
      <c r="R377" s="110">
        <v>2020</v>
      </c>
      <c r="S377" s="110">
        <v>2019</v>
      </c>
      <c r="T377" s="115"/>
      <c r="U377" s="115"/>
      <c r="V377" s="310"/>
      <c r="W377" s="114"/>
      <c r="X377" s="115"/>
      <c r="Y377" s="115"/>
      <c r="Z377" s="114"/>
    </row>
    <row r="378" spans="2:26" ht="18">
      <c r="B378" s="109" t="s">
        <v>651</v>
      </c>
      <c r="C378" s="60"/>
      <c r="D378" s="60"/>
      <c r="E378" s="60"/>
      <c r="F378" s="60"/>
      <c r="G378" s="60"/>
      <c r="H378" s="69"/>
      <c r="I378" s="61"/>
      <c r="J378" s="61"/>
      <c r="K378" s="112"/>
      <c r="L378" s="112"/>
      <c r="M378" s="112"/>
      <c r="N378" s="112"/>
      <c r="O378" s="461"/>
      <c r="P378" s="128"/>
      <c r="S378" s="142"/>
      <c r="T378" s="115"/>
      <c r="U378" s="115"/>
      <c r="V378" s="310"/>
      <c r="W378" s="114"/>
      <c r="X378" s="115"/>
      <c r="Y378" s="115"/>
      <c r="Z378" s="114"/>
    </row>
    <row r="379" spans="2:40" ht="15">
      <c r="B379" s="60" t="s">
        <v>131</v>
      </c>
      <c r="C379" s="60"/>
      <c r="D379" s="60"/>
      <c r="E379" s="60"/>
      <c r="F379" s="60"/>
      <c r="G379" s="60"/>
      <c r="H379" s="69"/>
      <c r="I379" s="61"/>
      <c r="J379" s="61"/>
      <c r="K379" s="112"/>
      <c r="L379" s="112"/>
      <c r="M379" s="112"/>
      <c r="N379" s="112"/>
      <c r="O379" s="670">
        <v>74284.84</v>
      </c>
      <c r="P379" s="670">
        <v>74284.84</v>
      </c>
      <c r="Q379" s="67">
        <v>74284.84</v>
      </c>
      <c r="R379" s="67">
        <v>74284.84</v>
      </c>
      <c r="S379" s="142"/>
      <c r="T379" s="115"/>
      <c r="U379" s="115"/>
      <c r="V379" s="310"/>
      <c r="W379" s="114"/>
      <c r="X379" s="115"/>
      <c r="Y379" s="115"/>
      <c r="Z379" s="114"/>
      <c r="AN379" s="449">
        <f>+P379-Q379</f>
        <v>0</v>
      </c>
    </row>
    <row r="380" spans="2:26" ht="15">
      <c r="B380" s="72"/>
      <c r="C380" s="60"/>
      <c r="D380" s="60"/>
      <c r="E380" s="60"/>
      <c r="F380" s="60"/>
      <c r="G380" s="60"/>
      <c r="H380" s="69"/>
      <c r="I380" s="61"/>
      <c r="J380" s="61"/>
      <c r="K380" s="112"/>
      <c r="L380" s="112"/>
      <c r="M380" s="112"/>
      <c r="N380" s="112"/>
      <c r="O380" s="649"/>
      <c r="P380" s="649"/>
      <c r="Q380" s="128"/>
      <c r="R380" s="112"/>
      <c r="S380" s="142"/>
      <c r="T380" s="115"/>
      <c r="U380" s="115"/>
      <c r="V380" s="310"/>
      <c r="W380" s="114"/>
      <c r="X380" s="115"/>
      <c r="Y380" s="115"/>
      <c r="Z380" s="114"/>
    </row>
    <row r="381" spans="2:26" ht="15">
      <c r="B381" s="60" t="s">
        <v>26</v>
      </c>
      <c r="C381" s="60"/>
      <c r="D381" s="60"/>
      <c r="E381" s="60"/>
      <c r="F381" s="60"/>
      <c r="G381" s="60"/>
      <c r="H381" s="61"/>
      <c r="I381" s="61"/>
      <c r="J381" s="61"/>
      <c r="K381" s="112"/>
      <c r="L381" s="112"/>
      <c r="M381" s="112"/>
      <c r="N381" s="112"/>
      <c r="O381" s="649"/>
      <c r="P381" s="649"/>
      <c r="Q381" s="128"/>
      <c r="R381" s="112"/>
      <c r="S381" s="112"/>
      <c r="T381" s="115"/>
      <c r="U381" s="115"/>
      <c r="V381" s="115"/>
      <c r="W381" s="114"/>
      <c r="X381" s="115"/>
      <c r="Y381" s="115"/>
      <c r="Z381" s="114"/>
    </row>
    <row r="382" spans="2:26" ht="15.75" thickBot="1">
      <c r="B382" s="60" t="s">
        <v>122</v>
      </c>
      <c r="C382" s="60"/>
      <c r="D382" s="60"/>
      <c r="E382" s="60"/>
      <c r="F382" s="60"/>
      <c r="G382" s="60"/>
      <c r="H382" s="61"/>
      <c r="I382" s="61"/>
      <c r="J382" s="61"/>
      <c r="K382" s="112"/>
      <c r="L382" s="112"/>
      <c r="M382" s="112"/>
      <c r="N382" s="112"/>
      <c r="O382" s="672">
        <f>+'Depreciación Acumulada'!E148</f>
        <v>74284.84</v>
      </c>
      <c r="P382" s="672">
        <f>+'Depreciación Acumulada'!F148</f>
        <v>74284.84</v>
      </c>
      <c r="Q382" s="138">
        <f>+'Depreciación Acumulada'!G147</f>
        <v>71250.57</v>
      </c>
      <c r="R382" s="138">
        <f>+'Depreciación Acumulada'!H147</f>
        <v>46466.25</v>
      </c>
      <c r="S382" s="138"/>
      <c r="T382" s="115"/>
      <c r="U382" s="115"/>
      <c r="V382" s="115"/>
      <c r="W382" s="114"/>
      <c r="X382" s="115"/>
      <c r="Y382" s="115"/>
      <c r="Z382" s="114"/>
    </row>
    <row r="383" spans="2:42" ht="18">
      <c r="B383" s="109" t="s">
        <v>123</v>
      </c>
      <c r="C383" s="60"/>
      <c r="D383" s="60"/>
      <c r="E383" s="60"/>
      <c r="F383" s="60"/>
      <c r="G383" s="60"/>
      <c r="H383" s="61"/>
      <c r="I383" s="61"/>
      <c r="J383" s="61"/>
      <c r="K383" s="112"/>
      <c r="L383" s="112"/>
      <c r="M383" s="112"/>
      <c r="N383" s="112"/>
      <c r="O383" s="651">
        <f>+O379-O382</f>
        <v>0</v>
      </c>
      <c r="P383" s="651">
        <f>+P379-P382</f>
        <v>0</v>
      </c>
      <c r="Q383" s="184">
        <f>+Q379-Q382</f>
        <v>3034.2699999999895</v>
      </c>
      <c r="R383" s="184">
        <f>+R379-R382</f>
        <v>27818.589999999997</v>
      </c>
      <c r="S383" s="184">
        <v>0</v>
      </c>
      <c r="T383" s="115"/>
      <c r="U383" s="115"/>
      <c r="V383" s="115"/>
      <c r="W383" s="114"/>
      <c r="X383" s="115"/>
      <c r="Y383" s="115"/>
      <c r="Z383" s="114"/>
      <c r="AO383" s="402">
        <f>+P385+P306+P451</f>
        <v>22206304.86</v>
      </c>
      <c r="AP383" s="402">
        <f>+Q385+Q306+P451</f>
        <v>20174690.83</v>
      </c>
    </row>
    <row r="384" spans="2:42" ht="15.75" thickBot="1">
      <c r="B384" s="60"/>
      <c r="C384" s="60"/>
      <c r="D384" s="60"/>
      <c r="E384" s="60"/>
      <c r="F384" s="60"/>
      <c r="G384" s="60"/>
      <c r="H384" s="63"/>
      <c r="I384" s="61"/>
      <c r="J384" s="61"/>
      <c r="K384" s="112"/>
      <c r="L384" s="112"/>
      <c r="M384" s="112"/>
      <c r="N384" s="112"/>
      <c r="O384" s="672"/>
      <c r="P384" s="672"/>
      <c r="Q384" s="138"/>
      <c r="R384" s="138"/>
      <c r="S384" s="143"/>
      <c r="T384" s="115"/>
      <c r="U384" s="115"/>
      <c r="V384" s="311"/>
      <c r="W384" s="284"/>
      <c r="X384" s="115"/>
      <c r="Y384" s="115"/>
      <c r="Z384" s="284"/>
      <c r="AP384" s="402">
        <f>+AP383-20174690.83</f>
        <v>0</v>
      </c>
    </row>
    <row r="385" spans="2:41" ht="21" thickBot="1">
      <c r="B385" s="182" t="s">
        <v>137</v>
      </c>
      <c r="C385" s="60"/>
      <c r="D385" s="60"/>
      <c r="E385" s="60"/>
      <c r="F385" s="60"/>
      <c r="G385" s="60"/>
      <c r="H385" s="130">
        <f>+H327+H339+H352+H365+H374</f>
        <v>4226688.589999998</v>
      </c>
      <c r="I385" s="61"/>
      <c r="J385" s="61"/>
      <c r="K385" s="112"/>
      <c r="L385" s="112"/>
      <c r="M385" s="112"/>
      <c r="N385" s="112"/>
      <c r="O385" s="677">
        <f>+O327+O339+O352+O365+O374+O383</f>
        <v>4247248.2</v>
      </c>
      <c r="P385" s="677">
        <f>+P327+P339+P352+P365+P374+P383</f>
        <v>4880212.67</v>
      </c>
      <c r="Q385" s="211">
        <f>+Q327+Q339+Q352+Q365+Q374+Q383</f>
        <v>4040401.7999999993</v>
      </c>
      <c r="R385" s="211">
        <f>+R327+R339+R352+R365+R374+R383</f>
        <v>3205466.550000001</v>
      </c>
      <c r="S385" s="211">
        <f>+S327+S339+S352+S365+S374+S383</f>
        <v>7283658.710000003</v>
      </c>
      <c r="T385" s="115"/>
      <c r="U385" s="115"/>
      <c r="V385" s="292">
        <f>+V327+V339+V352+V365+V374</f>
        <v>5063733.459999999</v>
      </c>
      <c r="W385" s="292">
        <f>+W327+W339+W352+W365</f>
        <v>5957140.6499999985</v>
      </c>
      <c r="X385" s="115"/>
      <c r="Y385" s="115"/>
      <c r="Z385" s="292">
        <f>+Z327+Z339+Z352+Z365</f>
        <v>4516916.509999999</v>
      </c>
      <c r="AO385" s="285">
        <f>+P324+P336+P349+P362+P370+P379</f>
        <v>16413549.52</v>
      </c>
    </row>
    <row r="386" spans="1:41" ht="25.5" thickTop="1">
      <c r="A386" s="144"/>
      <c r="B386" s="12"/>
      <c r="C386" s="107"/>
      <c r="D386" s="107"/>
      <c r="E386" s="107"/>
      <c r="F386" s="107"/>
      <c r="G386" s="107"/>
      <c r="H386" s="107"/>
      <c r="I386" s="107"/>
      <c r="J386" s="107"/>
      <c r="K386" s="108"/>
      <c r="W386" s="286"/>
      <c r="Z386" s="286"/>
      <c r="AN386" s="332">
        <f>SUM(AN202:AN385)</f>
        <v>7452218.0200000005</v>
      </c>
      <c r="AO386" s="405">
        <f>+AO385-'[7]Export3'!$J$55</f>
        <v>0</v>
      </c>
    </row>
    <row r="387" spans="1:41" ht="24.75" hidden="1">
      <c r="A387" s="144"/>
      <c r="B387" s="12"/>
      <c r="C387" s="107"/>
      <c r="D387" s="107"/>
      <c r="E387" s="107"/>
      <c r="F387" s="107"/>
      <c r="G387" s="107"/>
      <c r="H387" s="107"/>
      <c r="I387" s="107"/>
      <c r="J387" s="107"/>
      <c r="K387" s="108"/>
      <c r="W387" s="286"/>
      <c r="Z387" s="286"/>
      <c r="AN387" s="477">
        <f>+O219-P219+O240-P240+O257-P257+O277-P277+O285-P285+O292-P292+O324-P324+O336-P336+O349-P349+O362-P362+O369+O370-P370+O379-P379</f>
        <v>4860632.7799999975</v>
      </c>
      <c r="AO387" s="285">
        <f>+P326+P338+P351+P364+P373+P382</f>
        <v>11533336.850000001</v>
      </c>
    </row>
    <row r="388" spans="1:26" ht="21">
      <c r="A388" s="145"/>
      <c r="B388" s="182" t="s">
        <v>138</v>
      </c>
      <c r="C388" s="146"/>
      <c r="D388" s="146"/>
      <c r="E388" s="146"/>
      <c r="F388" s="146"/>
      <c r="G388" s="146"/>
      <c r="H388" s="146"/>
      <c r="I388" s="146"/>
      <c r="J388" s="146"/>
      <c r="K388" s="147"/>
      <c r="P388" s="817"/>
      <c r="Q388" s="817"/>
      <c r="R388" s="817"/>
      <c r="S388" s="217"/>
      <c r="V388" s="277">
        <v>2018</v>
      </c>
      <c r="W388" s="295">
        <v>2017</v>
      </c>
      <c r="X388" s="300"/>
      <c r="Y388" s="300"/>
      <c r="Z388" s="295">
        <v>2016</v>
      </c>
    </row>
    <row r="389" spans="1:26" ht="18">
      <c r="A389" s="145"/>
      <c r="B389" s="60" t="s">
        <v>118</v>
      </c>
      <c r="C389" s="146"/>
      <c r="D389" s="146"/>
      <c r="E389" s="146"/>
      <c r="F389" s="146"/>
      <c r="G389" s="146"/>
      <c r="H389" s="146"/>
      <c r="I389" s="146"/>
      <c r="J389" s="146"/>
      <c r="K389" s="147"/>
      <c r="O389" s="32">
        <v>2023</v>
      </c>
      <c r="P389" s="32">
        <v>2022</v>
      </c>
      <c r="Q389" s="110">
        <v>2021</v>
      </c>
      <c r="R389" s="110">
        <v>2020</v>
      </c>
      <c r="S389" s="110">
        <v>2019</v>
      </c>
      <c r="Z389" s="286"/>
    </row>
    <row r="390" spans="1:26" ht="15">
      <c r="A390" s="145"/>
      <c r="B390" s="60" t="s">
        <v>994</v>
      </c>
      <c r="C390" s="146"/>
      <c r="D390" s="146"/>
      <c r="E390" s="146"/>
      <c r="F390" s="146"/>
      <c r="G390" s="146"/>
      <c r="H390" s="146"/>
      <c r="I390" s="146"/>
      <c r="J390" s="146"/>
      <c r="K390" s="147"/>
      <c r="Z390" s="286"/>
    </row>
    <row r="391" spans="1:26" ht="14.25">
      <c r="A391" s="145"/>
      <c r="B391" s="148"/>
      <c r="C391" s="146"/>
      <c r="D391" s="146"/>
      <c r="E391" s="146"/>
      <c r="F391" s="146"/>
      <c r="G391" s="146"/>
      <c r="H391" s="146"/>
      <c r="I391" s="146"/>
      <c r="J391" s="146"/>
      <c r="K391" s="147"/>
      <c r="Z391" s="286"/>
    </row>
    <row r="392" spans="2:26" ht="18">
      <c r="B392" s="109" t="s">
        <v>139</v>
      </c>
      <c r="C392" s="12"/>
      <c r="D392" s="12"/>
      <c r="E392" s="12"/>
      <c r="F392" s="12"/>
      <c r="G392" s="12"/>
      <c r="H392" s="6"/>
      <c r="I392" s="6"/>
      <c r="J392" s="6"/>
      <c r="Z392" s="286"/>
    </row>
    <row r="393" spans="2:39" ht="15">
      <c r="B393" s="60" t="s">
        <v>7</v>
      </c>
      <c r="C393" s="60"/>
      <c r="D393" s="60"/>
      <c r="E393" s="60"/>
      <c r="F393" s="60"/>
      <c r="G393" s="60"/>
      <c r="H393" s="61">
        <v>70000</v>
      </c>
      <c r="I393" s="61"/>
      <c r="J393" s="61"/>
      <c r="K393" s="112"/>
      <c r="L393" s="112"/>
      <c r="M393" s="112"/>
      <c r="N393" s="112"/>
      <c r="O393" s="670">
        <v>264700</v>
      </c>
      <c r="P393" s="670">
        <v>264700</v>
      </c>
      <c r="Q393" s="67">
        <v>70000</v>
      </c>
      <c r="R393" s="67">
        <v>70000</v>
      </c>
      <c r="S393" s="67">
        <v>70000</v>
      </c>
      <c r="T393" s="115"/>
      <c r="U393" s="115"/>
      <c r="V393" s="114">
        <v>70000</v>
      </c>
      <c r="W393" s="114">
        <v>70000</v>
      </c>
      <c r="X393" s="115"/>
      <c r="Y393" s="115"/>
      <c r="Z393" s="114">
        <v>70000</v>
      </c>
      <c r="AM393" s="285"/>
    </row>
    <row r="394" spans="2:51" s="168" customFormat="1" ht="15">
      <c r="B394" s="60" t="s">
        <v>838</v>
      </c>
      <c r="C394" s="60"/>
      <c r="D394" s="60"/>
      <c r="E394" s="60"/>
      <c r="F394" s="60"/>
      <c r="G394" s="60"/>
      <c r="H394" s="61"/>
      <c r="I394" s="61"/>
      <c r="J394" s="61"/>
      <c r="K394" s="128"/>
      <c r="L394" s="128"/>
      <c r="M394" s="128"/>
      <c r="N394" s="128"/>
      <c r="O394" s="670">
        <v>130980</v>
      </c>
      <c r="P394" s="670">
        <v>130980</v>
      </c>
      <c r="Q394" s="67"/>
      <c r="R394" s="67"/>
      <c r="S394" s="67"/>
      <c r="T394" s="115"/>
      <c r="U394" s="115"/>
      <c r="V394" s="114"/>
      <c r="W394" s="114"/>
      <c r="X394" s="115"/>
      <c r="Y394" s="115"/>
      <c r="Z394" s="114"/>
      <c r="AA394" s="125"/>
      <c r="AB394" s="125"/>
      <c r="AC394" s="125"/>
      <c r="AD394" s="125"/>
      <c r="AE394" s="125"/>
      <c r="AF394" s="125"/>
      <c r="AG394" s="125"/>
      <c r="AM394" s="285"/>
      <c r="AN394" s="332"/>
      <c r="AO394" s="462"/>
      <c r="AP394" s="285">
        <f>+P394+P396+P393-Q393+P405-Q405+P418+P432-Q432</f>
        <v>1027002.96</v>
      </c>
      <c r="AQ394" s="462"/>
      <c r="AR394" s="462"/>
      <c r="AS394" s="462"/>
      <c r="AT394" s="462"/>
      <c r="AU394" s="462"/>
      <c r="AV394" s="462"/>
      <c r="AW394" s="462"/>
      <c r="AX394" s="462"/>
      <c r="AY394" s="462"/>
    </row>
    <row r="395" spans="2:39" ht="15.75" thickBot="1">
      <c r="B395" s="60" t="s">
        <v>140</v>
      </c>
      <c r="C395" s="60"/>
      <c r="D395" s="60"/>
      <c r="E395" s="60"/>
      <c r="F395" s="60"/>
      <c r="G395" s="60"/>
      <c r="H395" s="63">
        <v>9153</v>
      </c>
      <c r="I395" s="62"/>
      <c r="J395" s="62"/>
      <c r="K395" s="112"/>
      <c r="L395" s="112"/>
      <c r="M395" s="112"/>
      <c r="N395" s="112"/>
      <c r="O395" s="678">
        <f>9153+127392.8</f>
        <v>136545.8</v>
      </c>
      <c r="P395" s="678">
        <f>9153+127392.8</f>
        <v>136545.8</v>
      </c>
      <c r="Q395" s="183">
        <f>9153+127392.8</f>
        <v>136545.8</v>
      </c>
      <c r="R395" s="68">
        <f>9153+127392.8</f>
        <v>136545.8</v>
      </c>
      <c r="S395" s="68">
        <f>9153+127392.8</f>
        <v>136545.8</v>
      </c>
      <c r="T395" s="115"/>
      <c r="U395" s="115"/>
      <c r="V395" s="284">
        <f>9153+127392.8</f>
        <v>136545.8</v>
      </c>
      <c r="W395" s="284">
        <v>9153</v>
      </c>
      <c r="X395" s="115"/>
      <c r="Y395" s="115"/>
      <c r="Z395" s="284">
        <v>9153</v>
      </c>
      <c r="AM395" s="285"/>
    </row>
    <row r="396" spans="2:51" s="168" customFormat="1" ht="15">
      <c r="B396" s="60" t="s">
        <v>1026</v>
      </c>
      <c r="C396" s="60"/>
      <c r="D396" s="60"/>
      <c r="E396" s="60"/>
      <c r="F396" s="60"/>
      <c r="G396" s="60"/>
      <c r="H396" s="62"/>
      <c r="I396" s="62"/>
      <c r="J396" s="62"/>
      <c r="K396" s="128"/>
      <c r="L396" s="128"/>
      <c r="M396" s="128"/>
      <c r="N396" s="128"/>
      <c r="O396" s="678">
        <f>50999.36+163989.31+8499.9+8499.9+8499.9</f>
        <v>240488.36999999997</v>
      </c>
      <c r="P396" s="678">
        <f>50999.36+163989.31+8499.9+8499.9+8499.9</f>
        <v>240488.36999999997</v>
      </c>
      <c r="Q396" s="183"/>
      <c r="R396" s="183"/>
      <c r="S396" s="183"/>
      <c r="T396" s="115"/>
      <c r="U396" s="115"/>
      <c r="V396" s="302"/>
      <c r="W396" s="302"/>
      <c r="X396" s="115"/>
      <c r="Y396" s="115"/>
      <c r="Z396" s="302"/>
      <c r="AA396" s="125"/>
      <c r="AB396" s="125"/>
      <c r="AC396" s="125"/>
      <c r="AD396" s="125"/>
      <c r="AE396" s="125"/>
      <c r="AF396" s="125"/>
      <c r="AG396" s="125"/>
      <c r="AM396" s="285"/>
      <c r="AN396" s="332"/>
      <c r="AO396" s="462"/>
      <c r="AP396" s="462"/>
      <c r="AQ396" s="462"/>
      <c r="AR396" s="462"/>
      <c r="AS396" s="462"/>
      <c r="AT396" s="462"/>
      <c r="AU396" s="462"/>
      <c r="AV396" s="462"/>
      <c r="AW396" s="462"/>
      <c r="AX396" s="462"/>
      <c r="AY396" s="462"/>
    </row>
    <row r="397" spans="2:51" s="168" customFormat="1" ht="15.75" thickBot="1">
      <c r="B397" s="60"/>
      <c r="C397" s="60"/>
      <c r="D397" s="60"/>
      <c r="E397" s="60"/>
      <c r="F397" s="60"/>
      <c r="G397" s="60"/>
      <c r="H397" s="62"/>
      <c r="I397" s="62"/>
      <c r="J397" s="62"/>
      <c r="K397" s="128"/>
      <c r="L397" s="128"/>
      <c r="M397" s="128"/>
      <c r="N397" s="128"/>
      <c r="O397" s="657"/>
      <c r="P397" s="657"/>
      <c r="Q397" s="86"/>
      <c r="R397" s="183"/>
      <c r="S397" s="183"/>
      <c r="T397" s="115"/>
      <c r="U397" s="115"/>
      <c r="V397" s="302"/>
      <c r="W397" s="302"/>
      <c r="X397" s="115"/>
      <c r="Y397" s="115"/>
      <c r="Z397" s="302"/>
      <c r="AA397" s="125"/>
      <c r="AB397" s="125"/>
      <c r="AC397" s="125"/>
      <c r="AD397" s="125"/>
      <c r="AE397" s="125"/>
      <c r="AF397" s="125"/>
      <c r="AG397" s="125"/>
      <c r="AM397" s="285"/>
      <c r="AN397" s="332"/>
      <c r="AO397" s="462"/>
      <c r="AP397" s="462"/>
      <c r="AQ397" s="462"/>
      <c r="AR397" s="462"/>
      <c r="AS397" s="462"/>
      <c r="AT397" s="462"/>
      <c r="AU397" s="462"/>
      <c r="AV397" s="462"/>
      <c r="AW397" s="462"/>
      <c r="AX397" s="462"/>
      <c r="AY397" s="462"/>
    </row>
    <row r="398" spans="2:39" ht="15">
      <c r="B398" s="60"/>
      <c r="C398" s="60"/>
      <c r="D398" s="60"/>
      <c r="E398" s="60"/>
      <c r="F398" s="60"/>
      <c r="G398" s="60"/>
      <c r="H398" s="69">
        <f>SUM(H393:H395)</f>
        <v>79153</v>
      </c>
      <c r="I398" s="69"/>
      <c r="J398" s="69"/>
      <c r="K398" s="112"/>
      <c r="L398" s="112"/>
      <c r="M398" s="112"/>
      <c r="N398" s="112"/>
      <c r="O398" s="650">
        <f>SUM(O393:O397)</f>
        <v>772714.17</v>
      </c>
      <c r="P398" s="650">
        <f>SUM(P393:P397)</f>
        <v>772714.17</v>
      </c>
      <c r="Q398" s="123">
        <f>SUM(Q393:Q395)</f>
        <v>206545.8</v>
      </c>
      <c r="R398" s="123">
        <f>SUM(R393:R395)</f>
        <v>206545.8</v>
      </c>
      <c r="S398" s="123">
        <f>SUM(S393:S395)</f>
        <v>206545.8</v>
      </c>
      <c r="T398" s="115"/>
      <c r="U398" s="115"/>
      <c r="V398" s="124">
        <f>SUM(V393:V395)</f>
        <v>206545.8</v>
      </c>
      <c r="W398" s="124">
        <f>SUM(W393:W395)</f>
        <v>79153</v>
      </c>
      <c r="X398" s="115"/>
      <c r="Y398" s="115"/>
      <c r="Z398" s="124">
        <f>SUM(Z393:Z395)</f>
        <v>79153</v>
      </c>
      <c r="AM398" s="285">
        <f>+P398-Q398</f>
        <v>566168.3700000001</v>
      </c>
    </row>
    <row r="399" spans="1:39" ht="15">
      <c r="A399" s="145"/>
      <c r="B399" s="60" t="s">
        <v>26</v>
      </c>
      <c r="C399" s="60"/>
      <c r="D399" s="60"/>
      <c r="E399" s="60"/>
      <c r="F399" s="60"/>
      <c r="G399" s="60"/>
      <c r="H399" s="69"/>
      <c r="I399" s="69"/>
      <c r="J399" s="69"/>
      <c r="K399" s="149"/>
      <c r="L399" s="112"/>
      <c r="M399" s="112"/>
      <c r="N399" s="112"/>
      <c r="O399" s="649"/>
      <c r="P399" s="649"/>
      <c r="Q399" s="128"/>
      <c r="R399" s="112"/>
      <c r="S399" s="112"/>
      <c r="T399" s="115"/>
      <c r="U399" s="115"/>
      <c r="V399" s="115"/>
      <c r="W399" s="114"/>
      <c r="X399" s="115"/>
      <c r="Y399" s="115"/>
      <c r="Z399" s="114"/>
      <c r="AM399" s="285"/>
    </row>
    <row r="400" spans="2:42" ht="15.75" thickBot="1">
      <c r="B400" s="60" t="s">
        <v>122</v>
      </c>
      <c r="C400" s="60"/>
      <c r="D400" s="60"/>
      <c r="E400" s="60"/>
      <c r="F400" s="60"/>
      <c r="G400" s="60"/>
      <c r="H400" s="63">
        <v>79153</v>
      </c>
      <c r="I400" s="73"/>
      <c r="J400" s="73"/>
      <c r="K400" s="112"/>
      <c r="L400" s="112"/>
      <c r="M400" s="112"/>
      <c r="N400" s="112"/>
      <c r="O400" s="657">
        <f>+'Depreciación Acumulada'!E159</f>
        <v>295727.88</v>
      </c>
      <c r="P400" s="657">
        <f>+'Depreciación Acumulada'!F159</f>
        <v>206545.8</v>
      </c>
      <c r="Q400" s="86">
        <f>+'Depreciación Acumulada'!G159</f>
        <v>132233.34</v>
      </c>
      <c r="R400" s="86">
        <f>+'Depreciación Acumulada'!H159</f>
        <v>132233.34</v>
      </c>
      <c r="S400" s="86">
        <f>+'Depreciación Acumulada'!I159</f>
        <v>121617.26000000001</v>
      </c>
      <c r="T400" s="115"/>
      <c r="U400" s="115"/>
      <c r="V400" s="284">
        <v>100385.13</v>
      </c>
      <c r="W400" s="284">
        <v>79153</v>
      </c>
      <c r="X400" s="115"/>
      <c r="Y400" s="115"/>
      <c r="Z400" s="284">
        <v>79153</v>
      </c>
      <c r="AM400" s="285"/>
      <c r="AN400" s="477">
        <f>+Q400+Q407+Q423+Q435</f>
        <v>4045000.6500000004</v>
      </c>
      <c r="AO400" s="285">
        <f>+P400-Q400</f>
        <v>74312.45999999999</v>
      </c>
      <c r="AP400" s="285">
        <f>+P400+P407+P423+P435</f>
        <v>4629495.66</v>
      </c>
    </row>
    <row r="401" spans="2:39" ht="18">
      <c r="B401" s="109" t="s">
        <v>123</v>
      </c>
      <c r="C401" s="60"/>
      <c r="D401" s="60"/>
      <c r="E401" s="60"/>
      <c r="F401" s="60"/>
      <c r="G401" s="60"/>
      <c r="H401" s="69">
        <f>+H398-H400</f>
        <v>0</v>
      </c>
      <c r="I401" s="69"/>
      <c r="J401" s="69"/>
      <c r="K401" s="112"/>
      <c r="L401" s="112"/>
      <c r="M401" s="112"/>
      <c r="N401" s="112"/>
      <c r="O401" s="676">
        <f>+O398-O400</f>
        <v>476986.29000000004</v>
      </c>
      <c r="P401" s="676">
        <f>+P398-P400</f>
        <v>566168.3700000001</v>
      </c>
      <c r="Q401" s="142">
        <f>+Q398-Q400</f>
        <v>74312.45999999999</v>
      </c>
      <c r="R401" s="142">
        <f>+R398-R400</f>
        <v>74312.45999999999</v>
      </c>
      <c r="S401" s="142">
        <f>+S398-S400</f>
        <v>84928.53999999998</v>
      </c>
      <c r="T401" s="115"/>
      <c r="U401" s="115"/>
      <c r="V401" s="278">
        <f>+V398-V400</f>
        <v>106160.66999999998</v>
      </c>
      <c r="W401" s="305">
        <f>+W398-W400</f>
        <v>0</v>
      </c>
      <c r="X401" s="115"/>
      <c r="Y401" s="115"/>
      <c r="Z401" s="305">
        <f>+Z398-Z400</f>
        <v>0</v>
      </c>
      <c r="AM401" s="285"/>
    </row>
    <row r="402" spans="2:39" ht="15">
      <c r="B402" s="60"/>
      <c r="C402" s="60"/>
      <c r="D402" s="60"/>
      <c r="E402" s="60"/>
      <c r="F402" s="60"/>
      <c r="G402" s="60"/>
      <c r="H402" s="61"/>
      <c r="I402" s="61"/>
      <c r="J402" s="61"/>
      <c r="K402" s="112"/>
      <c r="L402" s="112"/>
      <c r="M402" s="112"/>
      <c r="N402" s="112"/>
      <c r="O402" s="461"/>
      <c r="P402" s="128"/>
      <c r="Q402" s="128"/>
      <c r="R402" s="112"/>
      <c r="S402" s="112"/>
      <c r="T402" s="115"/>
      <c r="U402" s="115"/>
      <c r="V402" s="115"/>
      <c r="W402" s="114"/>
      <c r="X402" s="115"/>
      <c r="Y402" s="115"/>
      <c r="Z402" s="114"/>
      <c r="AM402" s="285"/>
    </row>
    <row r="403" spans="2:39" ht="15">
      <c r="B403" s="60"/>
      <c r="C403" s="60"/>
      <c r="D403" s="60"/>
      <c r="E403" s="60"/>
      <c r="F403" s="60"/>
      <c r="G403" s="60"/>
      <c r="H403" s="61"/>
      <c r="I403" s="61"/>
      <c r="J403" s="61"/>
      <c r="K403" s="112"/>
      <c r="L403" s="112"/>
      <c r="M403" s="112"/>
      <c r="N403" s="112"/>
      <c r="O403" s="461"/>
      <c r="P403" s="3"/>
      <c r="Q403" s="522" t="s">
        <v>642</v>
      </c>
      <c r="R403" s="522"/>
      <c r="S403" s="217"/>
      <c r="T403" s="115"/>
      <c r="U403" s="115"/>
      <c r="V403" s="115"/>
      <c r="W403" s="114"/>
      <c r="X403" s="115"/>
      <c r="Y403" s="115"/>
      <c r="Z403" s="114"/>
      <c r="AM403" s="285"/>
    </row>
    <row r="404" spans="2:39" ht="18">
      <c r="B404" s="60"/>
      <c r="C404" s="60"/>
      <c r="D404" s="60"/>
      <c r="E404" s="60"/>
      <c r="F404" s="60"/>
      <c r="G404" s="60"/>
      <c r="H404" s="61"/>
      <c r="I404" s="61"/>
      <c r="J404" s="61"/>
      <c r="K404" s="112"/>
      <c r="L404" s="112"/>
      <c r="M404" s="112"/>
      <c r="N404" s="112"/>
      <c r="O404" s="32">
        <v>2023</v>
      </c>
      <c r="P404" s="32">
        <v>2022</v>
      </c>
      <c r="Q404" s="110">
        <v>2021</v>
      </c>
      <c r="R404" s="110">
        <v>2020</v>
      </c>
      <c r="S404" s="110">
        <v>2019</v>
      </c>
      <c r="T404" s="115"/>
      <c r="U404" s="115"/>
      <c r="V404" s="115"/>
      <c r="W404" s="114"/>
      <c r="X404" s="115"/>
      <c r="Y404" s="115"/>
      <c r="Z404" s="114"/>
      <c r="AM404" s="285"/>
    </row>
    <row r="405" spans="2:39" ht="18">
      <c r="B405" s="109" t="s">
        <v>8</v>
      </c>
      <c r="C405" s="12"/>
      <c r="D405" s="12"/>
      <c r="E405" s="12"/>
      <c r="F405" s="12"/>
      <c r="G405" s="12"/>
      <c r="H405" s="10">
        <f>822411.64+346844.92+33602+19998.64</f>
        <v>1222857.2</v>
      </c>
      <c r="I405" s="6"/>
      <c r="J405" s="6"/>
      <c r="O405" s="679">
        <f>850684.31+114332.48+42998.18+27390.41+455192.54+78352+5782</f>
        <v>1574731.9200000002</v>
      </c>
      <c r="P405" s="679">
        <f>688589.8+114332.48+42998.18+24279.64</f>
        <v>870200.1000000001</v>
      </c>
      <c r="Q405" s="94">
        <f>563671.95+114332.48+42998.18+19998.64</f>
        <v>741001.25</v>
      </c>
      <c r="R405" s="94">
        <f>534423.41+114332.48+42998.18+19998.64</f>
        <v>711752.7100000001</v>
      </c>
      <c r="S405" s="94">
        <f>1189173.65+356176.74+61636.7+22331.59</f>
        <v>1629318.68</v>
      </c>
      <c r="V405" s="299">
        <f>1094519+346844.92+42690.34+19998.64</f>
        <v>1504052.9</v>
      </c>
      <c r="W405" s="299">
        <f>1094519+346844.92+42690.34+19998.64</f>
        <v>1504052.9</v>
      </c>
      <c r="Z405" s="299">
        <f>955425.88+346844.92+42690.34+19998.64</f>
        <v>1364959.78</v>
      </c>
      <c r="AM405" s="285">
        <f>+P405-Q405</f>
        <v>129198.8500000001</v>
      </c>
    </row>
    <row r="406" spans="1:39" ht="15">
      <c r="A406" s="145"/>
      <c r="B406" s="60" t="s">
        <v>26</v>
      </c>
      <c r="C406" s="60"/>
      <c r="D406" s="60"/>
      <c r="E406" s="60"/>
      <c r="F406" s="60"/>
      <c r="G406" s="60"/>
      <c r="H406" s="69"/>
      <c r="I406" s="69"/>
      <c r="J406" s="69"/>
      <c r="K406" s="149"/>
      <c r="L406" s="112"/>
      <c r="M406" s="112"/>
      <c r="N406" s="112"/>
      <c r="O406" s="649"/>
      <c r="P406" s="649"/>
      <c r="Q406" s="128"/>
      <c r="R406" s="112"/>
      <c r="S406" s="112"/>
      <c r="T406" s="115"/>
      <c r="U406" s="115"/>
      <c r="V406" s="115"/>
      <c r="W406" s="114"/>
      <c r="X406" s="115"/>
      <c r="Y406" s="115"/>
      <c r="Z406" s="114"/>
      <c r="AM406" s="285"/>
    </row>
    <row r="407" spans="2:41" ht="15.75" thickBot="1">
      <c r="B407" s="60" t="s">
        <v>122</v>
      </c>
      <c r="C407" s="60"/>
      <c r="D407" s="60"/>
      <c r="E407" s="60"/>
      <c r="F407" s="60"/>
      <c r="G407" s="60"/>
      <c r="H407" s="63">
        <v>796240.79</v>
      </c>
      <c r="I407" s="73"/>
      <c r="J407" s="73"/>
      <c r="K407" s="112"/>
      <c r="L407" s="112"/>
      <c r="M407" s="112"/>
      <c r="N407" s="112"/>
      <c r="O407" s="657">
        <f>+'Depreciación Acumulada'!E170</f>
        <v>839785.1</v>
      </c>
      <c r="P407" s="657">
        <f>+'Depreciación Acumulada'!F170</f>
        <v>654659.74</v>
      </c>
      <c r="Q407" s="86">
        <f>+'Depreciación Acumulada'!G170</f>
        <v>514748.54</v>
      </c>
      <c r="R407" s="86" t="e">
        <f>+'Depreciación Acumulada'!H170</f>
        <v>#REF!</v>
      </c>
      <c r="S407" s="86" t="e">
        <f>+'Depreciación Acumulada'!I170</f>
        <v>#REF!</v>
      </c>
      <c r="T407" s="115"/>
      <c r="U407" s="115"/>
      <c r="V407" s="284">
        <v>1251003.58</v>
      </c>
      <c r="W407" s="284">
        <v>1131969.9</v>
      </c>
      <c r="X407" s="115"/>
      <c r="Y407" s="115"/>
      <c r="Z407" s="284">
        <v>954887.35</v>
      </c>
      <c r="AM407" s="285"/>
      <c r="AO407" s="285">
        <f>+P407-Q407</f>
        <v>139911.2</v>
      </c>
    </row>
    <row r="408" spans="2:39" ht="18">
      <c r="B408" s="109" t="s">
        <v>123</v>
      </c>
      <c r="C408" s="60"/>
      <c r="D408" s="60"/>
      <c r="E408" s="60"/>
      <c r="F408" s="60"/>
      <c r="G408" s="60"/>
      <c r="H408" s="69">
        <f>+H405-H407</f>
        <v>426616.4099999999</v>
      </c>
      <c r="I408" s="69"/>
      <c r="J408" s="69"/>
      <c r="K408" s="112"/>
      <c r="L408" s="112"/>
      <c r="M408" s="112"/>
      <c r="N408" s="112"/>
      <c r="O408" s="650">
        <f>+O405-O407</f>
        <v>734946.8200000002</v>
      </c>
      <c r="P408" s="650">
        <f>+P405-P407</f>
        <v>215540.3600000001</v>
      </c>
      <c r="Q408" s="123">
        <f>+Q405-Q407</f>
        <v>226252.71000000002</v>
      </c>
      <c r="R408" s="123" t="e">
        <f>+R405-R407</f>
        <v>#REF!</v>
      </c>
      <c r="S408" s="123" t="e">
        <f>+S405-S407</f>
        <v>#REF!</v>
      </c>
      <c r="T408" s="115"/>
      <c r="U408" s="115"/>
      <c r="V408" s="124">
        <f>+V405-V407</f>
        <v>253049.31999999983</v>
      </c>
      <c r="W408" s="124">
        <f>+W405-W407</f>
        <v>372083</v>
      </c>
      <c r="X408" s="115"/>
      <c r="Y408" s="115"/>
      <c r="Z408" s="124">
        <f>+Z405-Z407</f>
        <v>410072.43000000005</v>
      </c>
      <c r="AM408" s="285"/>
    </row>
    <row r="409" spans="2:39" ht="15">
      <c r="B409" s="60"/>
      <c r="C409" s="60"/>
      <c r="D409" s="60"/>
      <c r="E409" s="60"/>
      <c r="F409" s="60"/>
      <c r="G409" s="60"/>
      <c r="H409" s="61"/>
      <c r="I409" s="61"/>
      <c r="J409" s="61"/>
      <c r="K409" s="112"/>
      <c r="L409" s="112"/>
      <c r="M409" s="112"/>
      <c r="N409" s="112"/>
      <c r="O409" s="649"/>
      <c r="P409" s="649"/>
      <c r="Q409" s="128"/>
      <c r="R409" s="112"/>
      <c r="S409" s="112"/>
      <c r="T409" s="115"/>
      <c r="U409" s="115"/>
      <c r="V409" s="115"/>
      <c r="W409" s="114"/>
      <c r="X409" s="115"/>
      <c r="Y409" s="115"/>
      <c r="Z409" s="114"/>
      <c r="AM409" s="285"/>
    </row>
    <row r="410" spans="2:26" ht="15">
      <c r="B410" s="60"/>
      <c r="C410" s="60"/>
      <c r="D410" s="60"/>
      <c r="E410" s="60"/>
      <c r="F410" s="60"/>
      <c r="G410" s="60"/>
      <c r="H410" s="61"/>
      <c r="I410" s="61"/>
      <c r="J410" s="61"/>
      <c r="K410" s="112"/>
      <c r="L410" s="112"/>
      <c r="M410" s="112"/>
      <c r="N410" s="112"/>
      <c r="O410" s="649"/>
      <c r="P410" s="649"/>
      <c r="Q410" s="128"/>
      <c r="R410" s="112"/>
      <c r="S410" s="112"/>
      <c r="T410" s="115"/>
      <c r="U410" s="115"/>
      <c r="V410" s="115"/>
      <c r="W410" s="114"/>
      <c r="X410" s="115"/>
      <c r="Y410" s="115"/>
      <c r="Z410" s="114"/>
    </row>
    <row r="411" spans="2:51" s="456" customFormat="1" ht="15">
      <c r="B411" s="60"/>
      <c r="C411" s="60"/>
      <c r="D411" s="60"/>
      <c r="E411" s="60"/>
      <c r="F411" s="60"/>
      <c r="G411" s="60"/>
      <c r="H411" s="61"/>
      <c r="I411" s="61"/>
      <c r="J411" s="61"/>
      <c r="K411" s="461"/>
      <c r="L411" s="461"/>
      <c r="M411" s="461"/>
      <c r="N411" s="461"/>
      <c r="O411" s="116"/>
      <c r="P411" s="461"/>
      <c r="Q411" s="461"/>
      <c r="R411" s="461"/>
      <c r="S411" s="461"/>
      <c r="T411" s="115"/>
      <c r="U411" s="115"/>
      <c r="V411" s="115"/>
      <c r="W411" s="114"/>
      <c r="X411" s="115"/>
      <c r="Y411" s="115"/>
      <c r="Z411" s="114"/>
      <c r="AA411" s="462"/>
      <c r="AB411" s="462"/>
      <c r="AC411" s="462"/>
      <c r="AD411" s="462"/>
      <c r="AE411" s="462"/>
      <c r="AF411" s="462"/>
      <c r="AG411" s="462"/>
      <c r="AM411" s="462"/>
      <c r="AN411" s="332"/>
      <c r="AO411" s="462"/>
      <c r="AP411" s="462"/>
      <c r="AQ411" s="462"/>
      <c r="AR411" s="462"/>
      <c r="AS411" s="462"/>
      <c r="AT411" s="462"/>
      <c r="AU411" s="462"/>
      <c r="AV411" s="462"/>
      <c r="AW411" s="462"/>
      <c r="AX411" s="462"/>
      <c r="AY411" s="462"/>
    </row>
    <row r="412" spans="2:26" ht="18">
      <c r="B412" s="109" t="s">
        <v>141</v>
      </c>
      <c r="C412" s="12"/>
      <c r="D412" s="12"/>
      <c r="E412" s="12"/>
      <c r="F412" s="12"/>
      <c r="G412" s="12"/>
      <c r="H412" s="6"/>
      <c r="I412" s="6"/>
      <c r="J412" s="6"/>
      <c r="P412" s="3"/>
      <c r="Q412" s="522" t="s">
        <v>642</v>
      </c>
      <c r="R412" s="522"/>
      <c r="S412" s="217"/>
      <c r="W412" s="286"/>
      <c r="Z412" s="286"/>
    </row>
    <row r="413" spans="2:26" ht="18">
      <c r="B413" s="12"/>
      <c r="C413" s="12"/>
      <c r="D413" s="12"/>
      <c r="E413" s="12"/>
      <c r="F413" s="12"/>
      <c r="G413" s="12"/>
      <c r="H413" s="6"/>
      <c r="I413" s="6"/>
      <c r="J413" s="6"/>
      <c r="O413" s="32">
        <v>2023</v>
      </c>
      <c r="P413" s="32">
        <v>2022</v>
      </c>
      <c r="Q413" s="110">
        <v>2021</v>
      </c>
      <c r="R413" s="110">
        <v>2020</v>
      </c>
      <c r="S413" s="110">
        <v>2019</v>
      </c>
      <c r="W413" s="286"/>
      <c r="Z413" s="286"/>
    </row>
    <row r="414" spans="2:26" ht="15" hidden="1">
      <c r="B414" s="60" t="s">
        <v>17</v>
      </c>
      <c r="C414" s="60"/>
      <c r="D414" s="60"/>
      <c r="E414" s="60"/>
      <c r="F414" s="60"/>
      <c r="G414" s="60"/>
      <c r="H414" s="61">
        <v>777970.4</v>
      </c>
      <c r="I414" s="61"/>
      <c r="J414" s="61"/>
      <c r="K414" s="112"/>
      <c r="L414" s="112"/>
      <c r="M414" s="112"/>
      <c r="N414" s="112"/>
      <c r="O414" s="461"/>
      <c r="P414" s="128"/>
      <c r="Q414" s="128"/>
      <c r="R414" s="67">
        <v>0</v>
      </c>
      <c r="S414" s="67">
        <v>777970.4</v>
      </c>
      <c r="T414" s="115"/>
      <c r="U414" s="115"/>
      <c r="V414" s="114">
        <v>777970.4</v>
      </c>
      <c r="W414" s="114">
        <v>777970.4</v>
      </c>
      <c r="X414" s="115"/>
      <c r="Y414" s="115"/>
      <c r="Z414" s="114">
        <v>777970.4</v>
      </c>
    </row>
    <row r="415" spans="2:26" ht="15" hidden="1">
      <c r="B415" s="60" t="s">
        <v>18</v>
      </c>
      <c r="C415" s="60"/>
      <c r="D415" s="60"/>
      <c r="E415" s="60"/>
      <c r="F415" s="60"/>
      <c r="G415" s="60"/>
      <c r="H415" s="61">
        <v>167902</v>
      </c>
      <c r="I415" s="61"/>
      <c r="J415" s="61"/>
      <c r="K415" s="112"/>
      <c r="L415" s="112"/>
      <c r="M415" s="112"/>
      <c r="N415" s="112"/>
      <c r="O415" s="461"/>
      <c r="P415" s="128"/>
      <c r="Q415" s="128"/>
      <c r="R415" s="67">
        <v>0</v>
      </c>
      <c r="S415" s="67">
        <v>167902</v>
      </c>
      <c r="T415" s="115"/>
      <c r="U415" s="115"/>
      <c r="V415" s="114">
        <v>167902</v>
      </c>
      <c r="W415" s="114">
        <v>167902</v>
      </c>
      <c r="X415" s="115"/>
      <c r="Y415" s="115"/>
      <c r="Z415" s="114">
        <v>167902</v>
      </c>
    </row>
    <row r="416" spans="2:26" ht="15" hidden="1">
      <c r="B416" s="60" t="s">
        <v>19</v>
      </c>
      <c r="C416" s="60"/>
      <c r="D416" s="60"/>
      <c r="E416" s="60"/>
      <c r="F416" s="60"/>
      <c r="G416" s="60"/>
      <c r="H416" s="62">
        <v>164402</v>
      </c>
      <c r="I416" s="62"/>
      <c r="J416" s="62"/>
      <c r="K416" s="112"/>
      <c r="L416" s="112"/>
      <c r="M416" s="112"/>
      <c r="N416" s="112"/>
      <c r="O416" s="461"/>
      <c r="P416" s="128"/>
      <c r="Q416" s="128"/>
      <c r="R416" s="67">
        <v>0</v>
      </c>
      <c r="S416" s="67">
        <v>164402</v>
      </c>
      <c r="T416" s="115"/>
      <c r="U416" s="115"/>
      <c r="V416" s="114">
        <v>164402</v>
      </c>
      <c r="W416" s="114">
        <v>164402</v>
      </c>
      <c r="X416" s="115"/>
      <c r="Y416" s="115"/>
      <c r="Z416" s="114">
        <v>164402</v>
      </c>
    </row>
    <row r="417" spans="2:26" ht="15" hidden="1">
      <c r="B417" s="60" t="s">
        <v>252</v>
      </c>
      <c r="C417" s="60"/>
      <c r="D417" s="60"/>
      <c r="E417" s="60"/>
      <c r="F417" s="60"/>
      <c r="G417" s="60"/>
      <c r="H417" s="62">
        <v>56602.57</v>
      </c>
      <c r="I417" s="62"/>
      <c r="J417" s="62"/>
      <c r="K417" s="112"/>
      <c r="L417" s="112"/>
      <c r="M417" s="112"/>
      <c r="N417" s="112"/>
      <c r="O417" s="461"/>
      <c r="P417" s="128"/>
      <c r="Q417" s="128"/>
      <c r="R417" s="67">
        <v>0</v>
      </c>
      <c r="S417" s="67">
        <v>190550.27</v>
      </c>
      <c r="T417" s="115"/>
      <c r="U417" s="115"/>
      <c r="V417" s="114">
        <v>190550.27</v>
      </c>
      <c r="W417" s="114">
        <v>56602.57</v>
      </c>
      <c r="X417" s="115"/>
      <c r="Y417" s="115"/>
      <c r="Z417" s="114">
        <v>56602.57</v>
      </c>
    </row>
    <row r="418" spans="2:51" s="168" customFormat="1" ht="15">
      <c r="B418" s="60" t="s">
        <v>841</v>
      </c>
      <c r="C418" s="60"/>
      <c r="D418" s="60"/>
      <c r="E418" s="60"/>
      <c r="F418" s="60"/>
      <c r="G418" s="60"/>
      <c r="H418" s="62"/>
      <c r="I418" s="62"/>
      <c r="J418" s="62"/>
      <c r="K418" s="128"/>
      <c r="L418" s="128"/>
      <c r="M418" s="128"/>
      <c r="N418" s="128"/>
      <c r="O418" s="670">
        <v>58882</v>
      </c>
      <c r="P418" s="670">
        <v>58882</v>
      </c>
      <c r="Q418" s="128"/>
      <c r="R418" s="67"/>
      <c r="S418" s="67"/>
      <c r="T418" s="115"/>
      <c r="U418" s="115"/>
      <c r="V418" s="114"/>
      <c r="W418" s="114"/>
      <c r="X418" s="115"/>
      <c r="Y418" s="115"/>
      <c r="Z418" s="114"/>
      <c r="AA418" s="125"/>
      <c r="AB418" s="125"/>
      <c r="AC418" s="125"/>
      <c r="AD418" s="125"/>
      <c r="AE418" s="125"/>
      <c r="AF418" s="125"/>
      <c r="AG418" s="125"/>
      <c r="AM418" s="125"/>
      <c r="AN418" s="332"/>
      <c r="AO418" s="462"/>
      <c r="AP418" s="462"/>
      <c r="AQ418" s="462"/>
      <c r="AR418" s="462"/>
      <c r="AS418" s="462"/>
      <c r="AT418" s="462"/>
      <c r="AU418" s="462"/>
      <c r="AV418" s="462"/>
      <c r="AW418" s="462"/>
      <c r="AX418" s="462"/>
      <c r="AY418" s="462"/>
    </row>
    <row r="419" spans="2:26" ht="15.75" thickBot="1">
      <c r="B419" s="60" t="s">
        <v>142</v>
      </c>
      <c r="C419" s="60"/>
      <c r="D419" s="60"/>
      <c r="E419" s="60"/>
      <c r="F419" s="60"/>
      <c r="G419" s="60"/>
      <c r="H419" s="63">
        <v>226896</v>
      </c>
      <c r="I419" s="62"/>
      <c r="J419" s="62"/>
      <c r="K419" s="112"/>
      <c r="L419" s="112"/>
      <c r="M419" s="112"/>
      <c r="N419" s="112"/>
      <c r="O419" s="671">
        <v>226896</v>
      </c>
      <c r="P419" s="671">
        <v>226896</v>
      </c>
      <c r="Q419" s="68">
        <v>226896</v>
      </c>
      <c r="R419" s="68">
        <v>226896</v>
      </c>
      <c r="S419" s="68">
        <v>226896</v>
      </c>
      <c r="T419" s="115"/>
      <c r="U419" s="115"/>
      <c r="V419" s="284">
        <v>226896</v>
      </c>
      <c r="W419" s="284">
        <v>226896</v>
      </c>
      <c r="X419" s="115"/>
      <c r="Y419" s="115"/>
      <c r="Z419" s="284">
        <v>226896</v>
      </c>
    </row>
    <row r="420" spans="2:51" s="168" customFormat="1" ht="15">
      <c r="B420" s="60"/>
      <c r="C420" s="60"/>
      <c r="D420" s="60"/>
      <c r="E420" s="60"/>
      <c r="F420" s="60"/>
      <c r="G420" s="60"/>
      <c r="H420" s="62"/>
      <c r="I420" s="62"/>
      <c r="J420" s="62"/>
      <c r="K420" s="128"/>
      <c r="L420" s="128"/>
      <c r="M420" s="128"/>
      <c r="N420" s="128"/>
      <c r="O420" s="678"/>
      <c r="P420" s="678"/>
      <c r="Q420" s="183"/>
      <c r="R420" s="183"/>
      <c r="S420" s="183"/>
      <c r="T420" s="115"/>
      <c r="U420" s="115"/>
      <c r="V420" s="302"/>
      <c r="W420" s="302"/>
      <c r="X420" s="115"/>
      <c r="Y420" s="115"/>
      <c r="Z420" s="302"/>
      <c r="AA420" s="125"/>
      <c r="AB420" s="125"/>
      <c r="AC420" s="125"/>
      <c r="AD420" s="125"/>
      <c r="AE420" s="125"/>
      <c r="AF420" s="125"/>
      <c r="AG420" s="125"/>
      <c r="AM420" s="125"/>
      <c r="AN420" s="332"/>
      <c r="AO420" s="462"/>
      <c r="AP420" s="462"/>
      <c r="AQ420" s="462"/>
      <c r="AR420" s="462"/>
      <c r="AS420" s="462"/>
      <c r="AT420" s="462"/>
      <c r="AU420" s="462"/>
      <c r="AV420" s="462"/>
      <c r="AW420" s="462"/>
      <c r="AX420" s="462"/>
      <c r="AY420" s="462"/>
    </row>
    <row r="421" spans="2:39" ht="15">
      <c r="B421" s="60"/>
      <c r="C421" s="60"/>
      <c r="D421" s="60"/>
      <c r="E421" s="60"/>
      <c r="F421" s="60"/>
      <c r="G421" s="60"/>
      <c r="H421" s="69">
        <f>SUM(H413:H419)</f>
        <v>1393772.97</v>
      </c>
      <c r="I421" s="69"/>
      <c r="J421" s="69"/>
      <c r="K421" s="112"/>
      <c r="L421" s="112"/>
      <c r="M421" s="112"/>
      <c r="N421" s="112"/>
      <c r="O421" s="650">
        <f>SUM(O418:O420)</f>
        <v>285778</v>
      </c>
      <c r="P421" s="650">
        <f>SUM(P418:P420)</f>
        <v>285778</v>
      </c>
      <c r="Q421" s="123">
        <f>SUM(Q414:Q419)</f>
        <v>226896</v>
      </c>
      <c r="R421" s="123">
        <f>SUM(R414:R419)</f>
        <v>226896</v>
      </c>
      <c r="S421" s="123">
        <f>SUM(S414:S419)</f>
        <v>1527720.67</v>
      </c>
      <c r="T421" s="115"/>
      <c r="U421" s="115"/>
      <c r="V421" s="124">
        <f>SUM(V414:V419)</f>
        <v>1527720.67</v>
      </c>
      <c r="W421" s="124">
        <f>SUM(W414:W419)</f>
        <v>1393772.97</v>
      </c>
      <c r="X421" s="115"/>
      <c r="Y421" s="115"/>
      <c r="Z421" s="124">
        <f>SUM(Z414:Z419)</f>
        <v>1393772.97</v>
      </c>
      <c r="AM421" s="285">
        <f>+P421-Q421</f>
        <v>58882</v>
      </c>
    </row>
    <row r="422" spans="1:26" ht="15">
      <c r="A422" s="145"/>
      <c r="B422" s="60" t="s">
        <v>26</v>
      </c>
      <c r="C422" s="60"/>
      <c r="D422" s="60"/>
      <c r="E422" s="60"/>
      <c r="F422" s="60"/>
      <c r="G422" s="60"/>
      <c r="H422" s="69"/>
      <c r="I422" s="69"/>
      <c r="J422" s="69"/>
      <c r="K422" s="112"/>
      <c r="L422" s="112"/>
      <c r="M422" s="112"/>
      <c r="N422" s="112"/>
      <c r="O422" s="649"/>
      <c r="P422" s="649"/>
      <c r="Q422" s="128"/>
      <c r="R422" s="112"/>
      <c r="S422" s="112"/>
      <c r="T422" s="115"/>
      <c r="U422" s="115"/>
      <c r="V422" s="115"/>
      <c r="W422" s="114"/>
      <c r="X422" s="115"/>
      <c r="Y422" s="115"/>
      <c r="Z422" s="114"/>
    </row>
    <row r="423" spans="2:41" ht="15.75" thickBot="1">
      <c r="B423" s="60" t="s">
        <v>122</v>
      </c>
      <c r="C423" s="60"/>
      <c r="D423" s="60"/>
      <c r="E423" s="60"/>
      <c r="F423" s="60"/>
      <c r="G423" s="60"/>
      <c r="H423" s="63">
        <v>400108.77</v>
      </c>
      <c r="I423" s="62"/>
      <c r="J423" s="62"/>
      <c r="K423" s="112"/>
      <c r="L423" s="112"/>
      <c r="M423" s="112"/>
      <c r="N423" s="112"/>
      <c r="O423" s="657">
        <f>+'Depreciación Acumulada'!E185</f>
        <v>229550.88</v>
      </c>
      <c r="P423" s="657">
        <f>+'Depreciación Acumulada'!F185</f>
        <v>226896</v>
      </c>
      <c r="Q423" s="86">
        <f>+'Depreciación Acumulada'!G185</f>
        <v>176758.53</v>
      </c>
      <c r="R423" s="86">
        <f>+'Depreciación Acumulada'!H185</f>
        <v>176758.53</v>
      </c>
      <c r="S423" s="86">
        <f>+'Depreciación Acumulada'!I185</f>
        <v>501594.97</v>
      </c>
      <c r="T423" s="115"/>
      <c r="U423" s="115"/>
      <c r="V423" s="284">
        <v>470898.62</v>
      </c>
      <c r="W423" s="284">
        <v>440202.27</v>
      </c>
      <c r="X423" s="115"/>
      <c r="Y423" s="115"/>
      <c r="Z423" s="284">
        <v>428410.05</v>
      </c>
      <c r="AO423" s="285">
        <f>+P423-Q423</f>
        <v>50137.47</v>
      </c>
    </row>
    <row r="424" spans="2:26" ht="18">
      <c r="B424" s="109" t="s">
        <v>123</v>
      </c>
      <c r="C424" s="60"/>
      <c r="D424" s="60"/>
      <c r="E424" s="60"/>
      <c r="F424" s="60"/>
      <c r="G424" s="60"/>
      <c r="H424" s="73">
        <f>+H421-H423</f>
        <v>993664.2</v>
      </c>
      <c r="I424" s="73"/>
      <c r="J424" s="73"/>
      <c r="K424" s="112"/>
      <c r="L424" s="112"/>
      <c r="M424" s="112"/>
      <c r="N424" s="112"/>
      <c r="O424" s="650">
        <f>+O421-O423</f>
        <v>56227.119999999995</v>
      </c>
      <c r="P424" s="650">
        <f>+P421-P423</f>
        <v>58882</v>
      </c>
      <c r="Q424" s="123">
        <f>+Q421-Q423</f>
        <v>50137.47</v>
      </c>
      <c r="R424" s="123">
        <f>+R421-R423</f>
        <v>50137.47</v>
      </c>
      <c r="S424" s="123">
        <f>+S421-S423</f>
        <v>1026125.7</v>
      </c>
      <c r="T424" s="115"/>
      <c r="U424" s="115"/>
      <c r="V424" s="124">
        <f>+V421-V423</f>
        <v>1056822.0499999998</v>
      </c>
      <c r="W424" s="124">
        <f>+W421-W423</f>
        <v>953570.7</v>
      </c>
      <c r="X424" s="115"/>
      <c r="Y424" s="115"/>
      <c r="Z424" s="124">
        <f>+Z421-Z423</f>
        <v>965362.9199999999</v>
      </c>
    </row>
    <row r="425" spans="2:26" ht="15">
      <c r="B425" s="60"/>
      <c r="C425" s="60"/>
      <c r="D425" s="60"/>
      <c r="E425" s="60"/>
      <c r="F425" s="60"/>
      <c r="G425" s="60"/>
      <c r="H425" s="61"/>
      <c r="I425" s="61"/>
      <c r="J425" s="61"/>
      <c r="K425" s="112"/>
      <c r="L425" s="112"/>
      <c r="M425" s="112"/>
      <c r="N425" s="112"/>
      <c r="O425" s="461"/>
      <c r="P425" s="128"/>
      <c r="Q425" s="128"/>
      <c r="R425" s="112"/>
      <c r="S425" s="112"/>
      <c r="T425" s="115"/>
      <c r="U425" s="115"/>
      <c r="V425" s="115"/>
      <c r="W425" s="114"/>
      <c r="X425" s="115"/>
      <c r="Y425" s="115"/>
      <c r="Z425" s="114"/>
    </row>
    <row r="426" spans="2:26" ht="14.25">
      <c r="B426" s="12"/>
      <c r="C426" s="12"/>
      <c r="D426" s="12"/>
      <c r="E426" s="12"/>
      <c r="F426" s="12"/>
      <c r="G426" s="12"/>
      <c r="H426" s="6"/>
      <c r="I426" s="6"/>
      <c r="J426" s="6"/>
      <c r="Q426" s="522" t="s">
        <v>642</v>
      </c>
      <c r="R426" s="522"/>
      <c r="S426" s="217"/>
      <c r="Z426" s="286"/>
    </row>
    <row r="427" spans="2:39" ht="18">
      <c r="B427" s="109" t="s">
        <v>143</v>
      </c>
      <c r="C427" s="12"/>
      <c r="D427" s="12"/>
      <c r="E427" s="12"/>
      <c r="F427" s="12"/>
      <c r="G427" s="12"/>
      <c r="H427" s="6"/>
      <c r="I427" s="6"/>
      <c r="J427" s="6"/>
      <c r="O427" s="32">
        <v>2023</v>
      </c>
      <c r="P427" s="32">
        <v>2022</v>
      </c>
      <c r="Q427" s="110">
        <v>2021</v>
      </c>
      <c r="R427" s="110">
        <v>2020</v>
      </c>
      <c r="S427" s="110">
        <v>2019</v>
      </c>
      <c r="Z427" s="286"/>
      <c r="AM427" s="192"/>
    </row>
    <row r="428" spans="2:26" ht="15">
      <c r="B428" s="60" t="s">
        <v>143</v>
      </c>
      <c r="C428" s="60"/>
      <c r="D428" s="60"/>
      <c r="E428" s="60"/>
      <c r="F428" s="60"/>
      <c r="G428" s="60"/>
      <c r="H428" s="61">
        <v>2094464.16</v>
      </c>
      <c r="I428" s="61"/>
      <c r="J428" s="61"/>
      <c r="K428" s="112"/>
      <c r="L428" s="112"/>
      <c r="M428" s="112"/>
      <c r="N428" s="112"/>
      <c r="O428" s="670">
        <v>1667816.53</v>
      </c>
      <c r="P428" s="670">
        <v>1667816.53</v>
      </c>
      <c r="Q428" s="67">
        <v>1667816.53</v>
      </c>
      <c r="R428" s="67">
        <v>1667816.53</v>
      </c>
      <c r="S428" s="67">
        <v>2094464.16</v>
      </c>
      <c r="T428" s="115"/>
      <c r="U428" s="115"/>
      <c r="V428" s="114">
        <v>2094464.16</v>
      </c>
      <c r="W428" s="114">
        <v>2094464.16</v>
      </c>
      <c r="X428" s="115"/>
      <c r="Y428" s="115"/>
      <c r="Z428" s="114">
        <v>2094464.16</v>
      </c>
    </row>
    <row r="429" spans="15:26" ht="15" hidden="1">
      <c r="O429" s="664"/>
      <c r="P429" s="664"/>
      <c r="X429" s="115"/>
      <c r="Y429" s="115"/>
      <c r="Z429" s="114">
        <v>965181.39</v>
      </c>
    </row>
    <row r="430" spans="2:51" s="456" customFormat="1" ht="15">
      <c r="B430" s="60" t="s">
        <v>144</v>
      </c>
      <c r="C430" s="60"/>
      <c r="D430" s="60"/>
      <c r="E430" s="60"/>
      <c r="F430" s="60"/>
      <c r="G430" s="60"/>
      <c r="H430" s="61">
        <v>965181.39</v>
      </c>
      <c r="I430" s="61"/>
      <c r="J430" s="61"/>
      <c r="K430" s="112"/>
      <c r="L430" s="112"/>
      <c r="M430" s="112"/>
      <c r="N430" s="112"/>
      <c r="O430" s="670">
        <v>965181.39</v>
      </c>
      <c r="P430" s="670">
        <v>965181.39</v>
      </c>
      <c r="T430" s="462"/>
      <c r="U430" s="462"/>
      <c r="V430" s="462"/>
      <c r="W430" s="462"/>
      <c r="X430" s="115"/>
      <c r="Y430" s="115"/>
      <c r="Z430" s="114"/>
      <c r="AA430" s="462"/>
      <c r="AB430" s="462"/>
      <c r="AC430" s="462"/>
      <c r="AD430" s="462"/>
      <c r="AE430" s="462"/>
      <c r="AF430" s="462"/>
      <c r="AG430" s="462"/>
      <c r="AM430" s="462"/>
      <c r="AN430" s="332"/>
      <c r="AO430" s="462"/>
      <c r="AP430" s="462"/>
      <c r="AQ430" s="462"/>
      <c r="AR430" s="462"/>
      <c r="AS430" s="462"/>
      <c r="AT430" s="462"/>
      <c r="AU430" s="462"/>
      <c r="AV430" s="462"/>
      <c r="AW430" s="462"/>
      <c r="AX430" s="462"/>
      <c r="AY430" s="462"/>
    </row>
    <row r="431" spans="2:51" s="456" customFormat="1" ht="15">
      <c r="B431" s="9" t="s">
        <v>997</v>
      </c>
      <c r="O431" s="670">
        <v>15340</v>
      </c>
      <c r="P431" s="664"/>
      <c r="T431" s="462"/>
      <c r="U431" s="462"/>
      <c r="V431" s="462"/>
      <c r="W431" s="462"/>
      <c r="X431" s="115"/>
      <c r="Y431" s="115"/>
      <c r="Z431" s="114"/>
      <c r="AA431" s="462"/>
      <c r="AB431" s="462"/>
      <c r="AC431" s="462"/>
      <c r="AD431" s="462"/>
      <c r="AE431" s="462"/>
      <c r="AF431" s="462"/>
      <c r="AG431" s="462"/>
      <c r="AM431" s="462"/>
      <c r="AN431" s="332"/>
      <c r="AO431" s="462"/>
      <c r="AP431" s="462"/>
      <c r="AQ431" s="462"/>
      <c r="AR431" s="462"/>
      <c r="AS431" s="462"/>
      <c r="AT431" s="462"/>
      <c r="AU431" s="462"/>
      <c r="AV431" s="462"/>
      <c r="AW431" s="462"/>
      <c r="AX431" s="462"/>
      <c r="AY431" s="462"/>
    </row>
    <row r="432" spans="2:26" ht="15.75" thickBot="1">
      <c r="B432" s="60" t="s">
        <v>145</v>
      </c>
      <c r="C432" s="60"/>
      <c r="D432" s="60"/>
      <c r="E432" s="60"/>
      <c r="F432" s="60"/>
      <c r="G432" s="60"/>
      <c r="H432" s="63">
        <f>1915816.48+1682731.77</f>
        <v>3598548.25</v>
      </c>
      <c r="I432" s="62"/>
      <c r="J432" s="62"/>
      <c r="K432" s="112"/>
      <c r="L432" s="112"/>
      <c r="M432" s="112"/>
      <c r="N432" s="112"/>
      <c r="O432" s="671">
        <f>1207529.25+581977.04</f>
        <v>1789506.29</v>
      </c>
      <c r="P432" s="671">
        <f>1207529.25+513761.24</f>
        <v>1721290.49</v>
      </c>
      <c r="Q432" s="68">
        <f>1207529.25+241007.5</f>
        <v>1448536.75</v>
      </c>
      <c r="R432" s="68">
        <f>1207529.25+148712.92</f>
        <v>1356242.17</v>
      </c>
      <c r="S432" s="68">
        <f>1915816.48+2331459.17</f>
        <v>4247275.65</v>
      </c>
      <c r="T432" s="115"/>
      <c r="U432" s="115"/>
      <c r="V432" s="284">
        <f>1915816.48+2102119.99</f>
        <v>4017936.47</v>
      </c>
      <c r="W432" s="284">
        <f>1915816.48+1942284.16</f>
        <v>3858100.6399999997</v>
      </c>
      <c r="X432" s="115"/>
      <c r="Y432" s="115"/>
      <c r="Z432" s="284">
        <f>1915816.48+1809972.67</f>
        <v>3725789.15</v>
      </c>
    </row>
    <row r="433" spans="2:39" ht="15">
      <c r="B433" s="60"/>
      <c r="C433" s="60"/>
      <c r="D433" s="60"/>
      <c r="E433" s="60"/>
      <c r="F433" s="60"/>
      <c r="G433" s="60"/>
      <c r="H433" s="69">
        <f>SUM(H428:H432)</f>
        <v>6658193.8</v>
      </c>
      <c r="I433" s="69"/>
      <c r="J433" s="69"/>
      <c r="K433" s="112"/>
      <c r="L433" s="112"/>
      <c r="M433" s="112"/>
      <c r="N433" s="112"/>
      <c r="O433" s="679">
        <f>SUM(O428:O432)</f>
        <v>4437844.21</v>
      </c>
      <c r="P433" s="679">
        <f>SUM(P428:P432)</f>
        <v>4354288.41</v>
      </c>
      <c r="Q433" s="150">
        <f>SUM(Q428:Q432)</f>
        <v>3116353.2800000003</v>
      </c>
      <c r="R433" s="150">
        <f>SUM(R428:R432)</f>
        <v>3024058.7</v>
      </c>
      <c r="S433" s="150">
        <f>SUM(S428:S432)</f>
        <v>6341739.8100000005</v>
      </c>
      <c r="T433" s="115"/>
      <c r="U433" s="115"/>
      <c r="V433" s="124">
        <f>SUM(V428:V432)</f>
        <v>6112400.63</v>
      </c>
      <c r="W433" s="124">
        <f>SUM(W428:W432)</f>
        <v>5952564.8</v>
      </c>
      <c r="X433" s="115"/>
      <c r="Y433" s="115"/>
      <c r="Z433" s="124">
        <f>SUM(Z428:Z432)</f>
        <v>6785434.699999999</v>
      </c>
      <c r="AM433" s="285">
        <f>+P433-Q433</f>
        <v>1237935.13</v>
      </c>
    </row>
    <row r="434" spans="2:26" ht="15">
      <c r="B434" s="60" t="s">
        <v>26</v>
      </c>
      <c r="C434" s="60"/>
      <c r="D434" s="60"/>
      <c r="E434" s="60"/>
      <c r="F434" s="60"/>
      <c r="G434" s="60"/>
      <c r="H434" s="69"/>
      <c r="I434" s="69"/>
      <c r="J434" s="69"/>
      <c r="K434" s="112"/>
      <c r="L434" s="112"/>
      <c r="M434" s="112"/>
      <c r="N434" s="112"/>
      <c r="O434" s="649"/>
      <c r="P434" s="649"/>
      <c r="Q434" s="128"/>
      <c r="R434" s="112"/>
      <c r="S434" s="112"/>
      <c r="T434" s="115"/>
      <c r="U434" s="115"/>
      <c r="V434" s="115"/>
      <c r="W434" s="114"/>
      <c r="X434" s="115"/>
      <c r="Y434" s="115"/>
      <c r="Z434" s="114"/>
    </row>
    <row r="435" spans="2:41" ht="15.75" thickBot="1">
      <c r="B435" s="60" t="s">
        <v>122</v>
      </c>
      <c r="C435" s="60"/>
      <c r="D435" s="60"/>
      <c r="E435" s="60"/>
      <c r="F435" s="60"/>
      <c r="G435" s="60"/>
      <c r="H435" s="63">
        <v>6378350.13</v>
      </c>
      <c r="I435" s="62"/>
      <c r="J435" s="62"/>
      <c r="K435" s="149"/>
      <c r="L435" s="149"/>
      <c r="M435" s="112"/>
      <c r="N435" s="112"/>
      <c r="O435" s="671">
        <f>+'Depreciación Acumulada'!E197</f>
        <v>3922768.2600000002</v>
      </c>
      <c r="P435" s="671">
        <f>+'Depreciación Acumulada'!F197</f>
        <v>3541394.12</v>
      </c>
      <c r="Q435" s="68">
        <f>+'Depreciación Acumulada'!G197</f>
        <v>3221260.24</v>
      </c>
      <c r="R435" s="68">
        <f>+'Depreciación Acumulada'!H197</f>
        <v>2909953.34</v>
      </c>
      <c r="S435" s="68">
        <f>+'Depreciación Acumulada'!I197</f>
        <v>6825818.17</v>
      </c>
      <c r="T435" s="115"/>
      <c r="U435" s="115"/>
      <c r="V435" s="284">
        <v>5676476.21</v>
      </c>
      <c r="W435" s="284">
        <v>6339238.15</v>
      </c>
      <c r="X435" s="115"/>
      <c r="Y435" s="115"/>
      <c r="Z435" s="284">
        <v>6687839.98</v>
      </c>
      <c r="AO435" s="285">
        <f>+P435-Q435</f>
        <v>320133.8799999999</v>
      </c>
    </row>
    <row r="436" spans="2:41" ht="18">
      <c r="B436" s="109" t="s">
        <v>123</v>
      </c>
      <c r="C436" s="60"/>
      <c r="D436" s="60"/>
      <c r="E436" s="60"/>
      <c r="F436" s="60"/>
      <c r="G436" s="60"/>
      <c r="H436" s="73">
        <f>+H433-H435</f>
        <v>279843.6699999999</v>
      </c>
      <c r="I436" s="73"/>
      <c r="J436" s="73"/>
      <c r="K436" s="112"/>
      <c r="L436" s="112"/>
      <c r="M436" s="112"/>
      <c r="N436" s="112"/>
      <c r="O436" s="679">
        <f>+O433-O435</f>
        <v>515075.9499999997</v>
      </c>
      <c r="P436" s="679">
        <f>+P433-P435</f>
        <v>812894.29</v>
      </c>
      <c r="Q436" s="150">
        <f>+Q433-Q435</f>
        <v>-104906.95999999996</v>
      </c>
      <c r="R436" s="150">
        <f>+R433-R435</f>
        <v>114105.36000000034</v>
      </c>
      <c r="S436" s="150">
        <f>+S433-S435</f>
        <v>-484078.3599999994</v>
      </c>
      <c r="T436" s="115"/>
      <c r="U436" s="115"/>
      <c r="V436" s="124">
        <f>+V433-V435</f>
        <v>435924.4199999999</v>
      </c>
      <c r="W436" s="124">
        <f>+W433-W435</f>
        <v>-386673.35000000056</v>
      </c>
      <c r="X436" s="115"/>
      <c r="Y436" s="115"/>
      <c r="Z436" s="124">
        <f>+Z433-Z435</f>
        <v>97594.71999999881</v>
      </c>
      <c r="AO436" s="285">
        <f>SUM(AO395:AO435)</f>
        <v>584495.0099999999</v>
      </c>
    </row>
    <row r="437" spans="2:41" ht="15.75" thickBot="1">
      <c r="B437" s="60"/>
      <c r="C437" s="60"/>
      <c r="D437" s="60"/>
      <c r="E437" s="60"/>
      <c r="F437" s="60"/>
      <c r="G437" s="60"/>
      <c r="H437" s="63"/>
      <c r="I437" s="61"/>
      <c r="J437" s="61"/>
      <c r="K437" s="112"/>
      <c r="L437" s="112"/>
      <c r="M437" s="112"/>
      <c r="N437" s="112"/>
      <c r="O437" s="672"/>
      <c r="P437" s="672"/>
      <c r="Q437" s="143"/>
      <c r="R437" s="143"/>
      <c r="S437" s="143"/>
      <c r="T437" s="115"/>
      <c r="U437" s="115"/>
      <c r="V437" s="311"/>
      <c r="W437" s="284"/>
      <c r="X437" s="115"/>
      <c r="Y437" s="115"/>
      <c r="Z437" s="284"/>
      <c r="AO437" s="285">
        <f>+AO436-AO435</f>
        <v>264361.13</v>
      </c>
    </row>
    <row r="438" spans="2:40" ht="21" thickBot="1">
      <c r="B438" s="182" t="s">
        <v>147</v>
      </c>
      <c r="C438" s="60"/>
      <c r="D438" s="60"/>
      <c r="E438" s="60"/>
      <c r="F438" s="60"/>
      <c r="G438" s="60"/>
      <c r="H438" s="71">
        <f>+H401+H408+H424+H436</f>
        <v>1700124.2799999998</v>
      </c>
      <c r="I438" s="60"/>
      <c r="J438" s="60"/>
      <c r="K438" s="112"/>
      <c r="L438" s="112"/>
      <c r="M438" s="112"/>
      <c r="N438" s="112"/>
      <c r="O438" s="680">
        <f>+O401+O408+O424+O436</f>
        <v>1783236.1800000002</v>
      </c>
      <c r="P438" s="680">
        <f>+P401+P408+P424+P436</f>
        <v>1653485.0200000003</v>
      </c>
      <c r="Q438" s="151">
        <f>+Q401+Q408+Q424+Q436</f>
        <v>245795.68000000005</v>
      </c>
      <c r="R438" s="151" t="e">
        <f>+R401+R408+R424+R436</f>
        <v>#REF!</v>
      </c>
      <c r="S438" s="151" t="e">
        <f>+S401+S408+S424+S436</f>
        <v>#REF!</v>
      </c>
      <c r="T438" s="115"/>
      <c r="U438" s="115"/>
      <c r="V438" s="312">
        <f>+V401+V408+V424+V436</f>
        <v>1851956.4599999995</v>
      </c>
      <c r="W438" s="312">
        <f>+W401+W408+W424+W436</f>
        <v>938980.3499999994</v>
      </c>
      <c r="X438" s="115"/>
      <c r="Y438" s="115"/>
      <c r="Z438" s="313">
        <f>+Z401+Z408+Z424+Z436</f>
        <v>1473030.069999999</v>
      </c>
      <c r="AM438" s="285">
        <f>SUM(AM398:AM437)</f>
        <v>1992184.35</v>
      </c>
      <c r="AN438" s="477">
        <f>+O398-P398+O405-P405+O421-P421+O433-P433+O448-P448</f>
        <v>788087.6200000001</v>
      </c>
    </row>
    <row r="439" spans="2:26" ht="15" thickTop="1">
      <c r="B439" s="12"/>
      <c r="C439" s="12"/>
      <c r="D439" s="12"/>
      <c r="E439" s="12"/>
      <c r="F439" s="12"/>
      <c r="G439" s="12"/>
      <c r="H439" s="12"/>
      <c r="I439" s="12"/>
      <c r="J439" s="12"/>
      <c r="Z439" s="286"/>
    </row>
    <row r="440" spans="2:26" ht="15">
      <c r="B440" s="72"/>
      <c r="C440" s="12"/>
      <c r="D440" s="12"/>
      <c r="E440" s="12"/>
      <c r="F440" s="12"/>
      <c r="G440" s="12"/>
      <c r="H440" s="12"/>
      <c r="I440" s="12"/>
      <c r="J440" s="12"/>
      <c r="Z440" s="286"/>
    </row>
    <row r="441" spans="2:26" ht="18">
      <c r="B441" s="109" t="s">
        <v>20</v>
      </c>
      <c r="C441" s="12"/>
      <c r="D441" s="12"/>
      <c r="E441" s="12"/>
      <c r="F441" s="12"/>
      <c r="G441" s="12"/>
      <c r="H441" s="12"/>
      <c r="I441" s="12"/>
      <c r="J441" s="12"/>
      <c r="Q441" s="530" t="s">
        <v>642</v>
      </c>
      <c r="R441" s="530"/>
      <c r="S441" s="217"/>
      <c r="V441" s="277">
        <v>2018</v>
      </c>
      <c r="W441" s="295">
        <v>2017</v>
      </c>
      <c r="X441" s="300"/>
      <c r="Y441" s="300"/>
      <c r="Z441" s="295">
        <v>2016</v>
      </c>
    </row>
    <row r="442" spans="2:26" ht="18">
      <c r="B442" s="60" t="s">
        <v>652</v>
      </c>
      <c r="C442" s="12"/>
      <c r="D442" s="12"/>
      <c r="E442" s="12"/>
      <c r="F442" s="12"/>
      <c r="G442" s="12"/>
      <c r="H442" s="12"/>
      <c r="I442" s="12"/>
      <c r="J442" s="12"/>
      <c r="O442" s="32">
        <v>2023</v>
      </c>
      <c r="P442" s="32">
        <v>2022</v>
      </c>
      <c r="Q442" s="110">
        <v>2021</v>
      </c>
      <c r="R442" s="110">
        <v>2020</v>
      </c>
      <c r="S442" s="110">
        <v>2019</v>
      </c>
      <c r="Z442" s="286"/>
    </row>
    <row r="443" spans="2:26" ht="15">
      <c r="B443" s="60" t="s">
        <v>995</v>
      </c>
      <c r="C443" s="12"/>
      <c r="D443" s="12"/>
      <c r="E443" s="12"/>
      <c r="F443" s="12"/>
      <c r="G443" s="12"/>
      <c r="H443" s="12"/>
      <c r="I443" s="12"/>
      <c r="J443" s="12"/>
      <c r="Z443" s="286"/>
    </row>
    <row r="444" spans="2:26" ht="15">
      <c r="B444" s="72"/>
      <c r="C444" s="60"/>
      <c r="D444" s="60"/>
      <c r="E444" s="60"/>
      <c r="F444" s="60"/>
      <c r="G444" s="60"/>
      <c r="H444" s="61"/>
      <c r="I444" s="60"/>
      <c r="J444" s="60"/>
      <c r="K444" s="112"/>
      <c r="L444" s="112"/>
      <c r="M444" s="112"/>
      <c r="N444" s="112"/>
      <c r="O444" s="67"/>
      <c r="P444" s="128"/>
      <c r="Q444" s="128"/>
      <c r="R444" s="112"/>
      <c r="S444" s="112"/>
      <c r="T444" s="115"/>
      <c r="U444" s="115"/>
      <c r="V444" s="115"/>
      <c r="W444" s="115"/>
      <c r="X444" s="115"/>
      <c r="Y444" s="115"/>
      <c r="Z444" s="114"/>
    </row>
    <row r="445" spans="2:26" ht="15">
      <c r="B445" s="60" t="s">
        <v>130</v>
      </c>
      <c r="C445" s="60"/>
      <c r="D445" s="60"/>
      <c r="E445" s="60"/>
      <c r="F445" s="60"/>
      <c r="G445" s="60"/>
      <c r="H445" s="61">
        <v>837000.31</v>
      </c>
      <c r="I445" s="60"/>
      <c r="J445" s="60"/>
      <c r="K445" s="112"/>
      <c r="L445" s="112"/>
      <c r="M445" s="112"/>
      <c r="N445" s="112"/>
      <c r="O445" s="670">
        <f>832000.31</f>
        <v>832000.31</v>
      </c>
      <c r="P445" s="670">
        <f>832000.31</f>
        <v>832000.31</v>
      </c>
      <c r="Q445" s="67">
        <f>832000.31</f>
        <v>832000.31</v>
      </c>
      <c r="R445" s="67">
        <f>832000.31</f>
        <v>832000.31</v>
      </c>
      <c r="S445" s="67">
        <v>837000.31</v>
      </c>
      <c r="T445" s="115"/>
      <c r="U445" s="115"/>
      <c r="V445" s="114">
        <v>837000.31</v>
      </c>
      <c r="W445" s="114">
        <v>837000.31</v>
      </c>
      <c r="X445" s="115"/>
      <c r="Y445" s="115"/>
      <c r="Z445" s="114">
        <v>837000.31</v>
      </c>
    </row>
    <row r="446" spans="2:26" ht="15">
      <c r="B446" s="60" t="s">
        <v>135</v>
      </c>
      <c r="C446" s="60"/>
      <c r="D446" s="60"/>
      <c r="E446" s="60"/>
      <c r="F446" s="60"/>
      <c r="G446" s="60"/>
      <c r="H446" s="61"/>
      <c r="I446" s="60"/>
      <c r="J446" s="60"/>
      <c r="K446" s="112"/>
      <c r="L446" s="112"/>
      <c r="M446" s="112"/>
      <c r="N446" s="112"/>
      <c r="O446" s="670">
        <v>5000</v>
      </c>
      <c r="P446" s="670">
        <v>5000</v>
      </c>
      <c r="Q446" s="67">
        <v>5000</v>
      </c>
      <c r="R446" s="67">
        <v>5000</v>
      </c>
      <c r="S446" s="67"/>
      <c r="T446" s="115"/>
      <c r="U446" s="115"/>
      <c r="V446" s="114"/>
      <c r="W446" s="114"/>
      <c r="X446" s="115"/>
      <c r="Y446" s="115"/>
      <c r="Z446" s="114"/>
    </row>
    <row r="447" spans="2:26" ht="15.75" thickBot="1">
      <c r="B447" s="60" t="s">
        <v>134</v>
      </c>
      <c r="C447" s="60"/>
      <c r="D447" s="60"/>
      <c r="E447" s="60"/>
      <c r="F447" s="60"/>
      <c r="G447" s="60"/>
      <c r="H447" s="63">
        <v>71344.5</v>
      </c>
      <c r="I447" s="60"/>
      <c r="J447" s="60"/>
      <c r="K447" s="112"/>
      <c r="L447" s="112"/>
      <c r="M447" s="112"/>
      <c r="N447" s="112"/>
      <c r="O447" s="671">
        <v>71344.5</v>
      </c>
      <c r="P447" s="671">
        <v>71344.5</v>
      </c>
      <c r="Q447" s="68">
        <v>71344.5</v>
      </c>
      <c r="R447" s="68">
        <v>71344.5</v>
      </c>
      <c r="S447" s="68">
        <v>71344.5</v>
      </c>
      <c r="T447" s="115"/>
      <c r="U447" s="115"/>
      <c r="V447" s="284">
        <v>71344.5</v>
      </c>
      <c r="W447" s="284">
        <v>71344.5</v>
      </c>
      <c r="X447" s="115"/>
      <c r="Y447" s="115"/>
      <c r="Z447" s="284">
        <v>71344.5</v>
      </c>
    </row>
    <row r="448" spans="2:26" ht="15">
      <c r="B448" s="60"/>
      <c r="C448" s="60"/>
      <c r="D448" s="60"/>
      <c r="E448" s="60"/>
      <c r="F448" s="60"/>
      <c r="G448" s="60"/>
      <c r="H448" s="69">
        <f>SUM(H445:H447)</f>
        <v>908344.81</v>
      </c>
      <c r="I448" s="60"/>
      <c r="J448" s="60"/>
      <c r="K448" s="112"/>
      <c r="L448" s="112"/>
      <c r="M448" s="112"/>
      <c r="N448" s="112"/>
      <c r="O448" s="650">
        <f>SUM(O445:O447)</f>
        <v>908344.81</v>
      </c>
      <c r="P448" s="650">
        <f>SUM(P445:P447)</f>
        <v>908344.81</v>
      </c>
      <c r="Q448" s="123">
        <f>SUM(Q445:Q447)</f>
        <v>908344.81</v>
      </c>
      <c r="R448" s="123">
        <f>SUM(R445:R447)</f>
        <v>908344.81</v>
      </c>
      <c r="S448" s="123">
        <f>SUM(S445:S447)</f>
        <v>908344.81</v>
      </c>
      <c r="T448" s="115"/>
      <c r="U448" s="115"/>
      <c r="V448" s="124">
        <f>SUM(V445:V447)</f>
        <v>908344.81</v>
      </c>
      <c r="W448" s="124">
        <v>908344.81</v>
      </c>
      <c r="X448" s="115"/>
      <c r="Y448" s="115"/>
      <c r="Z448" s="124">
        <f>SUM(Z445:Z447)</f>
        <v>908344.81</v>
      </c>
    </row>
    <row r="449" spans="2:26" ht="15">
      <c r="B449" s="60" t="s">
        <v>26</v>
      </c>
      <c r="C449" s="60"/>
      <c r="D449" s="60"/>
      <c r="E449" s="60"/>
      <c r="F449" s="60"/>
      <c r="G449" s="60"/>
      <c r="H449" s="69"/>
      <c r="I449" s="60"/>
      <c r="J449" s="60"/>
      <c r="K449" s="112"/>
      <c r="L449" s="112"/>
      <c r="M449" s="112"/>
      <c r="N449" s="112"/>
      <c r="O449" s="664"/>
      <c r="P449" s="649"/>
      <c r="Q449" s="128"/>
      <c r="R449" s="112"/>
      <c r="S449" s="112"/>
      <c r="T449" s="115"/>
      <c r="U449" s="115"/>
      <c r="V449" s="115"/>
      <c r="W449" s="114"/>
      <c r="X449" s="115"/>
      <c r="Y449" s="115"/>
      <c r="Z449" s="114"/>
    </row>
    <row r="450" spans="2:26" ht="15.75" thickBot="1">
      <c r="B450" s="60" t="s">
        <v>122</v>
      </c>
      <c r="C450" s="60"/>
      <c r="D450" s="60"/>
      <c r="E450" s="60"/>
      <c r="F450" s="60"/>
      <c r="G450" s="60"/>
      <c r="H450" s="74">
        <v>0</v>
      </c>
      <c r="I450" s="60"/>
      <c r="J450" s="60"/>
      <c r="K450" s="112"/>
      <c r="L450" s="112"/>
      <c r="M450" s="112"/>
      <c r="N450" s="112"/>
      <c r="O450" s="672"/>
      <c r="P450" s="672"/>
      <c r="Q450" s="143"/>
      <c r="R450" s="143"/>
      <c r="S450" s="143"/>
      <c r="T450" s="115"/>
      <c r="U450" s="115"/>
      <c r="V450" s="311"/>
      <c r="W450" s="314">
        <v>0</v>
      </c>
      <c r="X450" s="115"/>
      <c r="Y450" s="115"/>
      <c r="Z450" s="314">
        <v>0</v>
      </c>
    </row>
    <row r="451" spans="2:26" ht="15">
      <c r="B451" s="72" t="s">
        <v>123</v>
      </c>
      <c r="C451" s="60"/>
      <c r="D451" s="60"/>
      <c r="E451" s="60"/>
      <c r="F451" s="60"/>
      <c r="G451" s="60"/>
      <c r="H451" s="69">
        <f>+H448-H450</f>
        <v>908344.81</v>
      </c>
      <c r="I451" s="60"/>
      <c r="J451" s="60"/>
      <c r="K451" s="112"/>
      <c r="L451" s="112"/>
      <c r="M451" s="112"/>
      <c r="N451" s="112"/>
      <c r="O451" s="650">
        <f>+O448-O450</f>
        <v>908344.81</v>
      </c>
      <c r="P451" s="650">
        <f>+P448-P450</f>
        <v>908344.81</v>
      </c>
      <c r="Q451" s="123">
        <f>+Q448-Q450</f>
        <v>908344.81</v>
      </c>
      <c r="R451" s="123">
        <f>+R448-R450</f>
        <v>908344.81</v>
      </c>
      <c r="S451" s="123">
        <f>+S448-S450</f>
        <v>908344.81</v>
      </c>
      <c r="T451" s="115"/>
      <c r="U451" s="115"/>
      <c r="V451" s="305">
        <f>+V448-V450</f>
        <v>908344.81</v>
      </c>
      <c r="W451" s="305">
        <f>+W448-W450</f>
        <v>908344.81</v>
      </c>
      <c r="X451" s="115"/>
      <c r="Y451" s="115"/>
      <c r="Z451" s="305">
        <f>+Z448-Z450</f>
        <v>908344.81</v>
      </c>
    </row>
    <row r="452" spans="2:26" ht="15.75" thickBot="1">
      <c r="B452" s="12"/>
      <c r="C452" s="12"/>
      <c r="D452" s="12"/>
      <c r="E452" s="12"/>
      <c r="F452" s="12"/>
      <c r="G452" s="12"/>
      <c r="H452" s="152"/>
      <c r="I452" s="12"/>
      <c r="J452" s="12"/>
      <c r="O452" s="681"/>
      <c r="P452" s="664"/>
      <c r="S452" s="55"/>
      <c r="V452" s="315"/>
      <c r="W452" s="307"/>
      <c r="Z452" s="307"/>
    </row>
    <row r="453" spans="2:26" ht="18.75" thickBot="1" thickTop="1">
      <c r="B453" s="134" t="s">
        <v>616</v>
      </c>
      <c r="C453" s="153"/>
      <c r="D453" s="153"/>
      <c r="E453" s="153"/>
      <c r="F453" s="153"/>
      <c r="G453" s="153"/>
      <c r="H453" s="154" t="e">
        <f>+H306+#REF!+H385+H438+H451</f>
        <v>#REF!</v>
      </c>
      <c r="I453" s="12"/>
      <c r="J453" s="12"/>
      <c r="O453" s="680">
        <f>+O306+O385+O438+O451</f>
        <v>22624014.669999998</v>
      </c>
      <c r="P453" s="680">
        <f>+P306+P385+P438+P451</f>
        <v>23859789.88</v>
      </c>
      <c r="Q453" s="201">
        <f>+Q306+Q385+Q438+Q451</f>
        <v>20420486.509999998</v>
      </c>
      <c r="R453" s="201" t="e">
        <f>+R306+R385+R438+R451</f>
        <v>#REF!</v>
      </c>
      <c r="S453" s="71" t="e">
        <f>+S306+S385+S438+S451</f>
        <v>#REF!</v>
      </c>
      <c r="V453" s="313">
        <f>+V306+V385+V438+V451</f>
        <v>12832933.419999998</v>
      </c>
      <c r="W453" s="313">
        <f>+W306+W385+W438+W451</f>
        <v>13742542.010000002</v>
      </c>
      <c r="Z453" s="313">
        <f>+Z306+Z385+Z438+Z451</f>
        <v>12305742.620000005</v>
      </c>
    </row>
    <row r="454" spans="2:26" ht="18" thickTop="1">
      <c r="B454" s="134"/>
      <c r="C454" s="153"/>
      <c r="D454" s="153"/>
      <c r="E454" s="153"/>
      <c r="F454" s="153"/>
      <c r="G454" s="153"/>
      <c r="H454" s="134"/>
      <c r="I454" s="12"/>
      <c r="J454" s="12"/>
      <c r="O454" s="664"/>
      <c r="P454" s="664"/>
      <c r="W454" s="316"/>
      <c r="Z454" s="316"/>
    </row>
    <row r="455" spans="2:51" s="456" customFormat="1" ht="18">
      <c r="B455" s="134"/>
      <c r="C455" s="153"/>
      <c r="D455" s="153"/>
      <c r="E455" s="153"/>
      <c r="F455" s="153"/>
      <c r="G455" s="153"/>
      <c r="H455" s="134"/>
      <c r="I455" s="12"/>
      <c r="J455" s="12"/>
      <c r="T455" s="462"/>
      <c r="U455" s="462"/>
      <c r="V455" s="462"/>
      <c r="W455" s="316"/>
      <c r="X455" s="462"/>
      <c r="Y455" s="462"/>
      <c r="Z455" s="316"/>
      <c r="AA455" s="462"/>
      <c r="AB455" s="462"/>
      <c r="AC455" s="462"/>
      <c r="AD455" s="462"/>
      <c r="AE455" s="462"/>
      <c r="AF455" s="462"/>
      <c r="AG455" s="462"/>
      <c r="AM455" s="462"/>
      <c r="AN455" s="332"/>
      <c r="AO455" s="462"/>
      <c r="AP455" s="462"/>
      <c r="AQ455" s="462"/>
      <c r="AR455" s="462"/>
      <c r="AS455" s="462"/>
      <c r="AT455" s="462"/>
      <c r="AU455" s="462"/>
      <c r="AV455" s="462"/>
      <c r="AW455" s="462"/>
      <c r="AX455" s="462"/>
      <c r="AY455" s="462"/>
    </row>
    <row r="456" spans="2:26" ht="18">
      <c r="B456" s="109" t="s">
        <v>583</v>
      </c>
      <c r="C456" s="153"/>
      <c r="D456" s="153"/>
      <c r="E456" s="153"/>
      <c r="F456" s="153"/>
      <c r="G456" s="153"/>
      <c r="H456" s="134"/>
      <c r="I456" s="12"/>
      <c r="J456" s="12"/>
      <c r="W456" s="316"/>
      <c r="Z456" s="316"/>
    </row>
    <row r="457" spans="1:26" ht="21">
      <c r="A457" s="97"/>
      <c r="B457" s="182" t="s">
        <v>128</v>
      </c>
      <c r="C457" s="20"/>
      <c r="D457" s="20"/>
      <c r="E457" s="20"/>
      <c r="F457" s="20"/>
      <c r="G457" s="20"/>
      <c r="H457" s="20"/>
      <c r="I457" s="20"/>
      <c r="J457" s="20"/>
      <c r="K457" s="155"/>
      <c r="S457" s="217"/>
      <c r="V457" s="277">
        <v>2018</v>
      </c>
      <c r="W457" s="295">
        <v>2017</v>
      </c>
      <c r="X457" s="300"/>
      <c r="Y457" s="300"/>
      <c r="Z457" s="295">
        <v>2016</v>
      </c>
    </row>
    <row r="458" spans="1:26" ht="18">
      <c r="A458" s="97"/>
      <c r="B458" s="60" t="s">
        <v>118</v>
      </c>
      <c r="C458" s="12"/>
      <c r="D458" s="12"/>
      <c r="E458" s="12"/>
      <c r="F458" s="12"/>
      <c r="G458" s="12"/>
      <c r="H458" s="12"/>
      <c r="I458" s="20"/>
      <c r="J458" s="20"/>
      <c r="K458" s="155"/>
      <c r="Q458" s="110">
        <v>2021</v>
      </c>
      <c r="R458" s="110">
        <v>2020</v>
      </c>
      <c r="S458" s="110">
        <v>2019</v>
      </c>
      <c r="Z458" s="286"/>
    </row>
    <row r="459" spans="1:26" ht="18">
      <c r="A459" s="97"/>
      <c r="B459" s="60" t="s">
        <v>994</v>
      </c>
      <c r="C459" s="12"/>
      <c r="D459" s="12"/>
      <c r="E459" s="12"/>
      <c r="F459" s="12"/>
      <c r="G459" s="12"/>
      <c r="H459" s="12"/>
      <c r="I459" s="20"/>
      <c r="J459" s="20"/>
      <c r="K459" s="155"/>
      <c r="O459" s="32">
        <v>2023</v>
      </c>
      <c r="P459" s="32">
        <v>2022</v>
      </c>
      <c r="Z459" s="286"/>
    </row>
    <row r="460" spans="2:26" ht="15">
      <c r="B460" s="72"/>
      <c r="C460" s="12"/>
      <c r="D460" s="12"/>
      <c r="E460" s="12"/>
      <c r="F460" s="12"/>
      <c r="G460" s="12"/>
      <c r="H460" s="6"/>
      <c r="I460" s="6"/>
      <c r="J460" s="6"/>
      <c r="Z460" s="286"/>
    </row>
    <row r="461" spans="2:26" ht="15">
      <c r="B461" s="9" t="s">
        <v>1359</v>
      </c>
      <c r="C461" s="60"/>
      <c r="D461" s="60"/>
      <c r="E461" s="60"/>
      <c r="F461" s="60"/>
      <c r="G461" s="60"/>
      <c r="H461" s="61">
        <v>2395376.62</v>
      </c>
      <c r="I461" s="61"/>
      <c r="J461" s="61"/>
      <c r="K461" s="112"/>
      <c r="L461" s="112"/>
      <c r="M461" s="112"/>
      <c r="N461" s="112"/>
      <c r="O461" s="670">
        <v>7491856.61</v>
      </c>
      <c r="P461" s="670">
        <v>7491856.61</v>
      </c>
      <c r="Q461" s="67">
        <v>4527856.62</v>
      </c>
      <c r="R461" s="67">
        <v>4527856.62</v>
      </c>
      <c r="S461" s="67">
        <v>4527856.62</v>
      </c>
      <c r="T461" s="115"/>
      <c r="U461" s="115"/>
      <c r="V461" s="114">
        <v>4527856.62</v>
      </c>
      <c r="W461" s="114">
        <v>4527856.62</v>
      </c>
      <c r="X461" s="115"/>
      <c r="Y461" s="115"/>
      <c r="Z461" s="114">
        <v>2395376.62</v>
      </c>
    </row>
    <row r="462" spans="2:51" s="168" customFormat="1" ht="15">
      <c r="B462" s="9" t="s">
        <v>999</v>
      </c>
      <c r="C462" s="60"/>
      <c r="D462" s="60"/>
      <c r="E462" s="60"/>
      <c r="F462" s="60"/>
      <c r="G462" s="60"/>
      <c r="H462" s="61"/>
      <c r="I462" s="61"/>
      <c r="J462" s="61"/>
      <c r="K462" s="128"/>
      <c r="L462" s="128"/>
      <c r="M462" s="128"/>
      <c r="N462" s="128"/>
      <c r="O462" s="670">
        <v>985420</v>
      </c>
      <c r="P462" s="670">
        <v>985420</v>
      </c>
      <c r="Q462" s="67">
        <v>985420</v>
      </c>
      <c r="R462" s="67"/>
      <c r="S462" s="67"/>
      <c r="T462" s="115"/>
      <c r="U462" s="115"/>
      <c r="V462" s="114"/>
      <c r="W462" s="114"/>
      <c r="X462" s="115"/>
      <c r="Y462" s="115"/>
      <c r="Z462" s="114"/>
      <c r="AA462" s="125"/>
      <c r="AB462" s="125"/>
      <c r="AC462" s="125"/>
      <c r="AD462" s="125"/>
      <c r="AE462" s="125"/>
      <c r="AF462" s="125"/>
      <c r="AG462" s="125"/>
      <c r="AM462" s="125"/>
      <c r="AN462" s="332"/>
      <c r="AO462" s="462"/>
      <c r="AP462" s="285"/>
      <c r="AQ462" s="462"/>
      <c r="AR462" s="462"/>
      <c r="AS462" s="462"/>
      <c r="AT462" s="462"/>
      <c r="AU462" s="462"/>
      <c r="AV462" s="462"/>
      <c r="AW462" s="462"/>
      <c r="AX462" s="462"/>
      <c r="AY462" s="462"/>
    </row>
    <row r="463" spans="1:26" ht="15">
      <c r="A463" s="3" t="s">
        <v>96</v>
      </c>
      <c r="B463" s="9" t="s">
        <v>1361</v>
      </c>
      <c r="C463" s="60"/>
      <c r="D463" s="60"/>
      <c r="E463" s="60"/>
      <c r="F463" s="60"/>
      <c r="G463" s="60"/>
      <c r="H463" s="61">
        <v>12420190.15</v>
      </c>
      <c r="I463" s="61"/>
      <c r="J463" s="61"/>
      <c r="K463" s="112"/>
      <c r="L463" s="112"/>
      <c r="M463" s="112"/>
      <c r="N463" s="112"/>
      <c r="O463" s="670">
        <v>26575495.15</v>
      </c>
      <c r="P463" s="670">
        <v>22861645.15</v>
      </c>
      <c r="Q463" s="67">
        <v>22861645.15</v>
      </c>
      <c r="R463" s="67">
        <v>20224690.15</v>
      </c>
      <c r="S463" s="67">
        <v>20224690.15</v>
      </c>
      <c r="T463" s="115"/>
      <c r="U463" s="115"/>
      <c r="V463" s="114">
        <v>17156690.15</v>
      </c>
      <c r="W463" s="114">
        <v>12420190.15</v>
      </c>
      <c r="X463" s="115"/>
      <c r="Y463" s="115"/>
      <c r="Z463" s="114">
        <v>12420190.15</v>
      </c>
    </row>
    <row r="464" spans="2:26" ht="15">
      <c r="B464" s="9" t="s">
        <v>1360</v>
      </c>
      <c r="C464" s="60"/>
      <c r="D464" s="60"/>
      <c r="E464" s="60"/>
      <c r="F464" s="60"/>
      <c r="G464" s="60"/>
      <c r="H464" s="62">
        <v>681521.62</v>
      </c>
      <c r="I464" s="62"/>
      <c r="J464" s="62"/>
      <c r="K464" s="112"/>
      <c r="L464" s="112"/>
      <c r="M464" s="112"/>
      <c r="N464" s="112"/>
      <c r="O464" s="670">
        <f>534739.59+227112.03</f>
        <v>761851.62</v>
      </c>
      <c r="P464" s="670">
        <f>534739.59+227112.03</f>
        <v>761851.62</v>
      </c>
      <c r="Q464" s="67">
        <f>454409.59+227112.03</f>
        <v>681521.62</v>
      </c>
      <c r="R464" s="67">
        <f>454409.59+227112.03</f>
        <v>681521.62</v>
      </c>
      <c r="S464" s="67">
        <v>681521.62</v>
      </c>
      <c r="T464" s="115"/>
      <c r="U464" s="115"/>
      <c r="V464" s="114">
        <v>681521.62</v>
      </c>
      <c r="W464" s="114">
        <v>681521.62</v>
      </c>
      <c r="X464" s="115"/>
      <c r="Y464" s="115"/>
      <c r="Z464" s="114">
        <v>681521.62</v>
      </c>
    </row>
    <row r="465" spans="2:26" ht="15.75" thickBot="1">
      <c r="B465" s="9" t="s">
        <v>671</v>
      </c>
      <c r="C465" s="60"/>
      <c r="D465" s="60"/>
      <c r="E465" s="60"/>
      <c r="F465" s="60"/>
      <c r="G465" s="60"/>
      <c r="H465" s="63">
        <v>0</v>
      </c>
      <c r="I465" s="62"/>
      <c r="J465" s="62"/>
      <c r="K465" s="112"/>
      <c r="L465" s="112"/>
      <c r="M465" s="112"/>
      <c r="N465" s="112"/>
      <c r="O465" s="671">
        <v>1987733.8</v>
      </c>
      <c r="P465" s="671">
        <v>1987733.8</v>
      </c>
      <c r="Q465" s="68">
        <v>1987733.8</v>
      </c>
      <c r="R465" s="143"/>
      <c r="S465" s="143"/>
      <c r="T465" s="115"/>
      <c r="U465" s="115"/>
      <c r="V465" s="311"/>
      <c r="W465" s="284"/>
      <c r="X465" s="115"/>
      <c r="Y465" s="115"/>
      <c r="Z465" s="284"/>
    </row>
    <row r="466" spans="3:51" s="456" customFormat="1" ht="15">
      <c r="C466" s="60"/>
      <c r="D466" s="60"/>
      <c r="E466" s="60"/>
      <c r="F466" s="60"/>
      <c r="G466" s="60"/>
      <c r="H466" s="62"/>
      <c r="I466" s="62"/>
      <c r="J466" s="62"/>
      <c r="K466" s="461"/>
      <c r="L466" s="461"/>
      <c r="M466" s="461"/>
      <c r="N466" s="461"/>
      <c r="O466" s="678"/>
      <c r="P466" s="678"/>
      <c r="Q466" s="183"/>
      <c r="R466" s="533"/>
      <c r="S466" s="533"/>
      <c r="T466" s="115"/>
      <c r="U466" s="115"/>
      <c r="V466" s="119"/>
      <c r="W466" s="302"/>
      <c r="X466" s="115"/>
      <c r="Y466" s="115"/>
      <c r="Z466" s="302"/>
      <c r="AA466" s="462"/>
      <c r="AB466" s="462"/>
      <c r="AC466" s="462"/>
      <c r="AD466" s="462"/>
      <c r="AE466" s="462"/>
      <c r="AF466" s="462"/>
      <c r="AG466" s="462"/>
      <c r="AM466" s="462"/>
      <c r="AN466" s="332"/>
      <c r="AO466" s="462"/>
      <c r="AP466" s="462"/>
      <c r="AQ466" s="462"/>
      <c r="AR466" s="462"/>
      <c r="AS466" s="462"/>
      <c r="AT466" s="462"/>
      <c r="AU466" s="462"/>
      <c r="AV466" s="462"/>
      <c r="AW466" s="462"/>
      <c r="AX466" s="462"/>
      <c r="AY466" s="462"/>
    </row>
    <row r="467" spans="2:26" ht="15">
      <c r="B467" s="60"/>
      <c r="C467" s="60"/>
      <c r="D467" s="60"/>
      <c r="E467" s="60"/>
      <c r="F467" s="60"/>
      <c r="G467" s="60"/>
      <c r="H467" s="69">
        <f>SUM(H461:H465)</f>
        <v>15497088.389999999</v>
      </c>
      <c r="I467" s="69"/>
      <c r="J467" s="69"/>
      <c r="K467" s="112"/>
      <c r="L467" s="112"/>
      <c r="M467" s="112"/>
      <c r="N467" s="112"/>
      <c r="O467" s="650">
        <f>SUM(O461:O466)</f>
        <v>37802357.17999999</v>
      </c>
      <c r="P467" s="650">
        <f>SUM(P461:P465)</f>
        <v>34088507.18</v>
      </c>
      <c r="Q467" s="123">
        <f>SUM(Q461:Q465)</f>
        <v>31044177.19</v>
      </c>
      <c r="R467" s="123">
        <f>SUM(R461:R465)</f>
        <v>25434068.39</v>
      </c>
      <c r="S467" s="123">
        <f>SUM(S461:S465)</f>
        <v>25434068.39</v>
      </c>
      <c r="T467" s="115"/>
      <c r="U467" s="115"/>
      <c r="V467" s="124">
        <f>SUM(V461:V465)</f>
        <v>22366068.39</v>
      </c>
      <c r="W467" s="124">
        <f>SUM(W461:W465)</f>
        <v>17629568.39</v>
      </c>
      <c r="X467" s="115"/>
      <c r="Y467" s="115"/>
      <c r="Z467" s="124">
        <f>SUM(Z461:Z465)</f>
        <v>15497088.389999999</v>
      </c>
    </row>
    <row r="468" spans="2:41" ht="15">
      <c r="B468" s="60" t="s">
        <v>26</v>
      </c>
      <c r="C468" s="60"/>
      <c r="D468" s="60"/>
      <c r="E468" s="60"/>
      <c r="F468" s="60"/>
      <c r="G468" s="60"/>
      <c r="H468" s="61"/>
      <c r="I468" s="61"/>
      <c r="J468" s="61"/>
      <c r="K468" s="112"/>
      <c r="L468" s="112"/>
      <c r="M468" s="112"/>
      <c r="N468" s="112"/>
      <c r="O468" s="649"/>
      <c r="P468" s="649"/>
      <c r="Q468" s="128"/>
      <c r="R468" s="112"/>
      <c r="S468" s="112"/>
      <c r="T468" s="115"/>
      <c r="U468" s="115"/>
      <c r="V468" s="115"/>
      <c r="W468" s="114"/>
      <c r="X468" s="115"/>
      <c r="Y468" s="115"/>
      <c r="Z468" s="114"/>
      <c r="AO468" s="285">
        <f>+O467-P467</f>
        <v>3713849.9999999925</v>
      </c>
    </row>
    <row r="469" spans="2:26" ht="15.75" thickBot="1">
      <c r="B469" s="60" t="s">
        <v>122</v>
      </c>
      <c r="C469" s="60"/>
      <c r="D469" s="60"/>
      <c r="E469" s="60"/>
      <c r="F469" s="60"/>
      <c r="G469" s="60"/>
      <c r="H469" s="63">
        <v>14593818.61</v>
      </c>
      <c r="I469" s="62"/>
      <c r="J469" s="62"/>
      <c r="K469" s="116"/>
      <c r="L469" s="116"/>
      <c r="M469" s="116"/>
      <c r="N469" s="116"/>
      <c r="O469" s="657">
        <f>+'Depreciación Acumulada'!E92</f>
        <v>23798303.64</v>
      </c>
      <c r="P469" s="657">
        <f>+'Depreciación Acumulada'!F92</f>
        <v>21907071.28</v>
      </c>
      <c r="Q469" s="86">
        <f>+'Depreciación Acumulada'!G92</f>
        <v>20452099.599999998</v>
      </c>
      <c r="R469" s="86">
        <f>+'Depreciación Acumulada'!H92</f>
        <v>19079434.48</v>
      </c>
      <c r="S469" s="75">
        <f>+'Depreciación Acumulada'!I92</f>
        <v>17574744.319999997</v>
      </c>
      <c r="T469" s="278">
        <f>+S469-R469</f>
        <v>-1504690.1600000039</v>
      </c>
      <c r="U469" s="278"/>
      <c r="V469" s="114">
        <v>16292353.49</v>
      </c>
      <c r="W469" s="114">
        <v>15009962.66</v>
      </c>
      <c r="X469" s="278"/>
      <c r="Y469" s="278"/>
      <c r="Z469" s="114">
        <v>14695935.98</v>
      </c>
    </row>
    <row r="470" spans="2:26" ht="15.75" thickBot="1">
      <c r="B470" s="134" t="s">
        <v>617</v>
      </c>
      <c r="C470" s="60"/>
      <c r="D470" s="60"/>
      <c r="E470" s="60"/>
      <c r="F470" s="60"/>
      <c r="G470" s="60"/>
      <c r="H470" s="71">
        <f>+H467-H469</f>
        <v>903269.7799999993</v>
      </c>
      <c r="I470" s="72"/>
      <c r="J470" s="72"/>
      <c r="K470" s="112"/>
      <c r="L470" s="112"/>
      <c r="M470" s="112"/>
      <c r="N470" s="112"/>
      <c r="O470" s="680">
        <f>+O467-O469</f>
        <v>14004053.539999992</v>
      </c>
      <c r="P470" s="680">
        <f>+P467-P469</f>
        <v>12181435.899999999</v>
      </c>
      <c r="Q470" s="201">
        <f>+Q467-Q469</f>
        <v>10592077.590000004</v>
      </c>
      <c r="R470" s="201">
        <f>+R467-R469</f>
        <v>6354633.91</v>
      </c>
      <c r="S470" s="201">
        <f>+S467-S469</f>
        <v>7859324.070000004</v>
      </c>
      <c r="T470" s="115"/>
      <c r="U470" s="115"/>
      <c r="V470" s="313">
        <f>+V467-V469</f>
        <v>6073714.9</v>
      </c>
      <c r="W470" s="313">
        <f>+W467-W469</f>
        <v>2619605.7300000004</v>
      </c>
      <c r="X470" s="115"/>
      <c r="Y470" s="115"/>
      <c r="Z470" s="313">
        <f>+Z467-Z469</f>
        <v>801152.4099999983</v>
      </c>
    </row>
    <row r="471" spans="1:27" ht="18" thickTop="1">
      <c r="A471" s="52"/>
      <c r="B471" s="134"/>
      <c r="C471" s="153"/>
      <c r="D471" s="153"/>
      <c r="E471" s="153"/>
      <c r="F471" s="153"/>
      <c r="G471" s="153"/>
      <c r="H471" s="134"/>
      <c r="I471" s="156"/>
      <c r="J471" s="156"/>
      <c r="K471" s="52"/>
      <c r="L471" s="52"/>
      <c r="M471" s="52"/>
      <c r="N471" s="52"/>
      <c r="O471" s="682"/>
      <c r="P471" s="682"/>
      <c r="Q471" s="53"/>
      <c r="R471" s="75"/>
      <c r="S471" s="52"/>
      <c r="T471" s="317"/>
      <c r="U471" s="317"/>
      <c r="V471" s="317"/>
      <c r="W471" s="316"/>
      <c r="X471" s="317"/>
      <c r="Y471" s="317"/>
      <c r="Z471" s="316"/>
      <c r="AA471" s="317"/>
    </row>
    <row r="472" spans="1:51" s="105" customFormat="1" ht="18">
      <c r="A472" s="532"/>
      <c r="B472" s="172" t="s">
        <v>1062</v>
      </c>
      <c r="C472" s="153"/>
      <c r="D472" s="153"/>
      <c r="E472" s="153"/>
      <c r="F472" s="153"/>
      <c r="G472" s="153"/>
      <c r="H472" s="134"/>
      <c r="I472" s="156"/>
      <c r="J472" s="156"/>
      <c r="K472" s="532"/>
      <c r="L472" s="532"/>
      <c r="M472" s="532"/>
      <c r="N472" s="532"/>
      <c r="O472" s="532"/>
      <c r="P472" s="532"/>
      <c r="Q472" s="532"/>
      <c r="R472" s="67"/>
      <c r="S472" s="532"/>
      <c r="T472" s="532"/>
      <c r="U472" s="532"/>
      <c r="V472" s="532"/>
      <c r="W472" s="134"/>
      <c r="X472" s="532"/>
      <c r="Y472" s="532"/>
      <c r="Z472" s="134"/>
      <c r="AA472" s="532"/>
      <c r="AN472" s="332"/>
      <c r="AO472" s="462"/>
      <c r="AP472" s="462"/>
      <c r="AQ472" s="462"/>
      <c r="AR472" s="462"/>
      <c r="AS472" s="462"/>
      <c r="AT472" s="462"/>
      <c r="AU472" s="462"/>
      <c r="AV472" s="462"/>
      <c r="AW472" s="462"/>
      <c r="AX472" s="462"/>
      <c r="AY472" s="462"/>
    </row>
    <row r="473" spans="1:51" s="105" customFormat="1" ht="18">
      <c r="A473" s="532"/>
      <c r="B473" s="134" t="s">
        <v>1063</v>
      </c>
      <c r="C473" s="153"/>
      <c r="D473" s="153"/>
      <c r="E473" s="153"/>
      <c r="F473" s="153"/>
      <c r="G473" s="153"/>
      <c r="H473" s="134"/>
      <c r="I473" s="156"/>
      <c r="J473" s="156"/>
      <c r="K473" s="532"/>
      <c r="L473" s="532"/>
      <c r="M473" s="532"/>
      <c r="N473" s="532"/>
      <c r="O473" s="532"/>
      <c r="P473" s="532"/>
      <c r="Q473" s="532"/>
      <c r="R473" s="67"/>
      <c r="S473" s="532"/>
      <c r="T473" s="532"/>
      <c r="U473" s="532"/>
      <c r="V473" s="532"/>
      <c r="W473" s="134"/>
      <c r="X473" s="532"/>
      <c r="Y473" s="532"/>
      <c r="Z473" s="134"/>
      <c r="AA473" s="532"/>
      <c r="AN473" s="332"/>
      <c r="AO473" s="462"/>
      <c r="AP473" s="462"/>
      <c r="AQ473" s="462"/>
      <c r="AR473" s="462"/>
      <c r="AS473" s="462"/>
      <c r="AT473" s="462"/>
      <c r="AU473" s="462"/>
      <c r="AV473" s="462"/>
      <c r="AW473" s="462"/>
      <c r="AX473" s="462"/>
      <c r="AY473" s="462"/>
    </row>
    <row r="474" spans="1:51" s="105" customFormat="1" ht="18">
      <c r="A474" s="532"/>
      <c r="B474" s="134" t="s">
        <v>1362</v>
      </c>
      <c r="C474" s="153"/>
      <c r="D474" s="153"/>
      <c r="E474" s="153"/>
      <c r="F474" s="153"/>
      <c r="G474" s="153"/>
      <c r="H474" s="134"/>
      <c r="I474" s="156"/>
      <c r="J474" s="156"/>
      <c r="K474" s="532"/>
      <c r="L474" s="532"/>
      <c r="M474" s="532"/>
      <c r="N474" s="532"/>
      <c r="O474" s="532"/>
      <c r="P474" s="532"/>
      <c r="Q474" s="532"/>
      <c r="R474" s="67"/>
      <c r="S474" s="532"/>
      <c r="T474" s="532"/>
      <c r="U474" s="532"/>
      <c r="V474" s="532"/>
      <c r="W474" s="134"/>
      <c r="X474" s="532"/>
      <c r="Y474" s="532"/>
      <c r="Z474" s="134"/>
      <c r="AA474" s="532"/>
      <c r="AN474" s="332"/>
      <c r="AO474" s="462"/>
      <c r="AP474" s="462"/>
      <c r="AQ474" s="462"/>
      <c r="AR474" s="462"/>
      <c r="AS474" s="462"/>
      <c r="AT474" s="462"/>
      <c r="AU474" s="462"/>
      <c r="AV474" s="462"/>
      <c r="AW474" s="462"/>
      <c r="AX474" s="462"/>
      <c r="AY474" s="462"/>
    </row>
    <row r="475" spans="1:51" s="168" customFormat="1" ht="18">
      <c r="A475" s="53"/>
      <c r="B475" s="134"/>
      <c r="C475" s="153"/>
      <c r="D475" s="153"/>
      <c r="E475" s="153"/>
      <c r="F475" s="153"/>
      <c r="G475" s="153"/>
      <c r="H475" s="134"/>
      <c r="I475" s="156"/>
      <c r="J475" s="156"/>
      <c r="K475" s="53"/>
      <c r="L475" s="53"/>
      <c r="M475" s="53"/>
      <c r="N475" s="53"/>
      <c r="O475" s="53"/>
      <c r="P475" s="53"/>
      <c r="Q475" s="53"/>
      <c r="R475" s="220"/>
      <c r="S475" s="53"/>
      <c r="T475" s="317"/>
      <c r="U475" s="317"/>
      <c r="V475" s="317"/>
      <c r="W475" s="316"/>
      <c r="X475" s="317"/>
      <c r="Y475" s="317"/>
      <c r="Z475" s="316"/>
      <c r="AA475" s="317"/>
      <c r="AB475" s="125"/>
      <c r="AC475" s="125"/>
      <c r="AD475" s="125"/>
      <c r="AE475" s="125"/>
      <c r="AF475" s="125"/>
      <c r="AG475" s="125"/>
      <c r="AM475" s="125"/>
      <c r="AN475" s="332"/>
      <c r="AO475" s="462"/>
      <c r="AP475" s="462"/>
      <c r="AQ475" s="462"/>
      <c r="AR475" s="462"/>
      <c r="AS475" s="462"/>
      <c r="AT475" s="462"/>
      <c r="AU475" s="462"/>
      <c r="AV475" s="462"/>
      <c r="AW475" s="462"/>
      <c r="AX475" s="462"/>
      <c r="AY475" s="462"/>
    </row>
    <row r="476" spans="2:26" ht="18">
      <c r="B476" s="109" t="s">
        <v>583</v>
      </c>
      <c r="C476" s="131"/>
      <c r="D476" s="12"/>
      <c r="E476" s="12"/>
      <c r="F476" s="12"/>
      <c r="G476" s="12"/>
      <c r="H476" s="12"/>
      <c r="I476" s="12"/>
      <c r="J476" s="12"/>
      <c r="R476" s="75"/>
      <c r="Z476" s="286"/>
    </row>
    <row r="477" spans="2:26" ht="21">
      <c r="B477" s="182" t="s">
        <v>21</v>
      </c>
      <c r="C477" s="131"/>
      <c r="D477" s="12"/>
      <c r="E477" s="12"/>
      <c r="F477" s="12"/>
      <c r="G477" s="12"/>
      <c r="H477" s="12"/>
      <c r="I477" s="12"/>
      <c r="J477" s="12"/>
      <c r="Z477" s="286"/>
    </row>
    <row r="478" spans="2:26" ht="15">
      <c r="B478" s="72" t="s">
        <v>660</v>
      </c>
      <c r="C478" s="9"/>
      <c r="D478" s="9"/>
      <c r="E478" s="9"/>
      <c r="F478" s="9"/>
      <c r="G478" s="9"/>
      <c r="H478" s="9"/>
      <c r="I478" s="9"/>
      <c r="J478" s="9"/>
      <c r="K478" s="5"/>
      <c r="L478"/>
      <c r="M478"/>
      <c r="N478"/>
      <c r="O478" s="455"/>
      <c r="P478" s="4"/>
      <c r="Q478" s="4"/>
      <c r="R478"/>
      <c r="S478"/>
      <c r="T478" s="190"/>
      <c r="U478" s="190"/>
      <c r="V478" s="190"/>
      <c r="W478" s="318"/>
      <c r="X478" s="190"/>
      <c r="Z478" s="286"/>
    </row>
    <row r="479" spans="1:26" ht="15" customHeight="1">
      <c r="A479" s="168"/>
      <c r="B479" s="72" t="s">
        <v>661</v>
      </c>
      <c r="C479" s="9"/>
      <c r="D479" s="9"/>
      <c r="E479" s="9"/>
      <c r="F479" s="9"/>
      <c r="G479" s="9"/>
      <c r="H479" s="9"/>
      <c r="I479" s="9"/>
      <c r="J479" s="9"/>
      <c r="K479" s="5"/>
      <c r="L479"/>
      <c r="M479"/>
      <c r="N479"/>
      <c r="O479" s="455"/>
      <c r="P479" s="4"/>
      <c r="Q479" s="4"/>
      <c r="R479"/>
      <c r="S479"/>
      <c r="T479" s="190"/>
      <c r="U479" s="190"/>
      <c r="V479" s="190"/>
      <c r="W479" s="318"/>
      <c r="X479" s="190"/>
      <c r="Z479" s="286"/>
    </row>
    <row r="480" spans="2:26" ht="15">
      <c r="B480" s="72" t="s">
        <v>662</v>
      </c>
      <c r="C480" s="9"/>
      <c r="D480" s="9"/>
      <c r="E480" s="9"/>
      <c r="F480" s="9"/>
      <c r="G480" s="9"/>
      <c r="H480" s="9"/>
      <c r="I480" s="9"/>
      <c r="J480" s="9"/>
      <c r="K480" s="5"/>
      <c r="L480"/>
      <c r="M480"/>
      <c r="N480"/>
      <c r="O480" s="455"/>
      <c r="P480" s="4"/>
      <c r="Q480" s="4"/>
      <c r="R480"/>
      <c r="S480"/>
      <c r="T480" s="190"/>
      <c r="U480" s="190"/>
      <c r="V480" s="190"/>
      <c r="W480" s="318"/>
      <c r="X480" s="190"/>
      <c r="Z480" s="286"/>
    </row>
    <row r="481" spans="2:26" ht="15">
      <c r="B481" s="215" t="s">
        <v>676</v>
      </c>
      <c r="C481" s="60"/>
      <c r="D481" s="60"/>
      <c r="E481" s="60"/>
      <c r="F481" s="60"/>
      <c r="G481" s="60"/>
      <c r="H481" s="60"/>
      <c r="I481" s="60"/>
      <c r="J481" s="12"/>
      <c r="Z481" s="286"/>
    </row>
    <row r="482" spans="2:51" s="168" customFormat="1" ht="15">
      <c r="B482" s="215" t="s">
        <v>677</v>
      </c>
      <c r="C482" s="60"/>
      <c r="D482" s="60"/>
      <c r="E482" s="60"/>
      <c r="F482" s="60"/>
      <c r="G482" s="60"/>
      <c r="H482" s="60"/>
      <c r="I482" s="60"/>
      <c r="J482" s="12"/>
      <c r="O482" s="456"/>
      <c r="T482" s="125"/>
      <c r="U482" s="125"/>
      <c r="V482" s="125"/>
      <c r="W482" s="125"/>
      <c r="X482" s="125"/>
      <c r="Y482" s="125"/>
      <c r="Z482" s="286"/>
      <c r="AA482" s="125"/>
      <c r="AB482" s="125"/>
      <c r="AC482" s="125"/>
      <c r="AD482" s="125"/>
      <c r="AE482" s="125"/>
      <c r="AF482" s="125"/>
      <c r="AG482" s="125"/>
      <c r="AM482" s="125"/>
      <c r="AN482" s="332"/>
      <c r="AO482" s="462"/>
      <c r="AP482" s="462"/>
      <c r="AQ482" s="462"/>
      <c r="AR482" s="462"/>
      <c r="AS482" s="462"/>
      <c r="AT482" s="462"/>
      <c r="AU482" s="462"/>
      <c r="AV482" s="462"/>
      <c r="AW482" s="462"/>
      <c r="AX482" s="462"/>
      <c r="AY482" s="462"/>
    </row>
    <row r="483" spans="2:51" s="168" customFormat="1" ht="15">
      <c r="B483" s="215" t="s">
        <v>996</v>
      </c>
      <c r="C483" s="60"/>
      <c r="D483" s="60"/>
      <c r="E483" s="60"/>
      <c r="F483" s="60"/>
      <c r="G483" s="60"/>
      <c r="H483" s="60"/>
      <c r="I483" s="60"/>
      <c r="J483" s="12"/>
      <c r="O483" s="456"/>
      <c r="T483" s="125"/>
      <c r="U483" s="125"/>
      <c r="V483" s="125"/>
      <c r="W483" s="125"/>
      <c r="X483" s="125"/>
      <c r="Y483" s="125"/>
      <c r="Z483" s="286"/>
      <c r="AA483" s="125"/>
      <c r="AB483" s="125"/>
      <c r="AC483" s="125"/>
      <c r="AD483" s="125"/>
      <c r="AE483" s="125"/>
      <c r="AF483" s="125"/>
      <c r="AG483" s="125"/>
      <c r="AM483" s="125"/>
      <c r="AN483" s="332"/>
      <c r="AO483" s="462"/>
      <c r="AP483" s="462"/>
      <c r="AQ483" s="462"/>
      <c r="AR483" s="462"/>
      <c r="AS483" s="462"/>
      <c r="AT483" s="462"/>
      <c r="AU483" s="462"/>
      <c r="AV483" s="462"/>
      <c r="AW483" s="462"/>
      <c r="AX483" s="462"/>
      <c r="AY483" s="462"/>
    </row>
    <row r="484" spans="2:51" s="168" customFormat="1" ht="15">
      <c r="B484" s="215" t="s">
        <v>842</v>
      </c>
      <c r="C484" s="60"/>
      <c r="D484" s="60"/>
      <c r="E484" s="60"/>
      <c r="F484" s="60"/>
      <c r="G484" s="60"/>
      <c r="H484" s="60"/>
      <c r="I484" s="60"/>
      <c r="J484" s="12"/>
      <c r="O484" s="456"/>
      <c r="T484" s="125"/>
      <c r="U484" s="125"/>
      <c r="V484" s="125"/>
      <c r="W484" s="125"/>
      <c r="X484" s="125"/>
      <c r="Y484" s="125"/>
      <c r="Z484" s="286"/>
      <c r="AA484" s="125"/>
      <c r="AB484" s="125"/>
      <c r="AC484" s="125"/>
      <c r="AD484" s="125"/>
      <c r="AE484" s="125"/>
      <c r="AF484" s="125"/>
      <c r="AG484" s="125"/>
      <c r="AM484" s="125"/>
      <c r="AN484" s="332"/>
      <c r="AO484" s="462"/>
      <c r="AP484" s="462"/>
      <c r="AQ484" s="462"/>
      <c r="AR484" s="462"/>
      <c r="AS484" s="462"/>
      <c r="AT484" s="462"/>
      <c r="AU484" s="462"/>
      <c r="AV484" s="462"/>
      <c r="AW484" s="462"/>
      <c r="AX484" s="462"/>
      <c r="AY484" s="462"/>
    </row>
    <row r="485" spans="2:51" s="168" customFormat="1" ht="15">
      <c r="B485" s="215"/>
      <c r="C485" s="60"/>
      <c r="D485" s="60"/>
      <c r="E485" s="60"/>
      <c r="F485" s="60"/>
      <c r="G485" s="60"/>
      <c r="H485" s="60"/>
      <c r="I485" s="60"/>
      <c r="J485" s="12"/>
      <c r="O485" s="456"/>
      <c r="T485" s="125"/>
      <c r="U485" s="125"/>
      <c r="V485" s="125"/>
      <c r="W485" s="125"/>
      <c r="X485" s="125"/>
      <c r="Y485" s="125"/>
      <c r="Z485" s="286"/>
      <c r="AA485" s="125"/>
      <c r="AB485" s="125"/>
      <c r="AC485" s="125"/>
      <c r="AD485" s="125"/>
      <c r="AE485" s="125"/>
      <c r="AF485" s="125"/>
      <c r="AG485" s="125"/>
      <c r="AM485" s="125"/>
      <c r="AN485" s="332"/>
      <c r="AO485" s="462"/>
      <c r="AP485" s="462"/>
      <c r="AQ485" s="462"/>
      <c r="AR485" s="462"/>
      <c r="AS485" s="462"/>
      <c r="AT485" s="462"/>
      <c r="AU485" s="462"/>
      <c r="AV485" s="462"/>
      <c r="AW485" s="462"/>
      <c r="AX485" s="462"/>
      <c r="AY485" s="462"/>
    </row>
    <row r="486" spans="2:26" ht="15">
      <c r="B486" s="60" t="s">
        <v>149</v>
      </c>
      <c r="C486" s="12"/>
      <c r="D486" s="12"/>
      <c r="E486" s="12"/>
      <c r="F486" s="12"/>
      <c r="G486" s="12"/>
      <c r="H486" s="12"/>
      <c r="I486" s="12"/>
      <c r="J486" s="12"/>
      <c r="P486" s="53"/>
      <c r="Q486" s="53"/>
      <c r="R486" s="53"/>
      <c r="Z486" s="286"/>
    </row>
    <row r="487" spans="2:26" ht="14.25">
      <c r="B487" s="12"/>
      <c r="C487" s="12"/>
      <c r="D487" s="12"/>
      <c r="E487" s="12"/>
      <c r="F487" s="12"/>
      <c r="G487" s="12"/>
      <c r="H487" s="12"/>
      <c r="I487" s="12"/>
      <c r="J487" s="12"/>
      <c r="Q487" s="530" t="s">
        <v>642</v>
      </c>
      <c r="R487" s="530"/>
      <c r="S487" s="216"/>
      <c r="Z487" s="286"/>
    </row>
    <row r="488" spans="2:26" ht="18">
      <c r="B488" s="109" t="s">
        <v>21</v>
      </c>
      <c r="C488" s="12"/>
      <c r="D488" s="12"/>
      <c r="E488" s="12"/>
      <c r="F488" s="12"/>
      <c r="G488" s="12"/>
      <c r="H488" s="12"/>
      <c r="I488" s="12"/>
      <c r="J488" s="12"/>
      <c r="O488" s="32">
        <v>2023</v>
      </c>
      <c r="P488" s="32">
        <v>2022</v>
      </c>
      <c r="Q488" s="110">
        <v>2021</v>
      </c>
      <c r="R488" s="110">
        <v>2020</v>
      </c>
      <c r="S488" s="110">
        <v>2019</v>
      </c>
      <c r="V488" s="277">
        <v>2018</v>
      </c>
      <c r="W488" s="295">
        <v>2017</v>
      </c>
      <c r="X488" s="300"/>
      <c r="Y488" s="300"/>
      <c r="Z488" s="295">
        <v>2016</v>
      </c>
    </row>
    <row r="489" spans="2:26" ht="15">
      <c r="B489" s="60" t="s">
        <v>150</v>
      </c>
      <c r="C489" s="60"/>
      <c r="D489" s="60"/>
      <c r="E489" s="60"/>
      <c r="F489" s="60"/>
      <c r="G489" s="60"/>
      <c r="H489" s="61">
        <v>140344160.53</v>
      </c>
      <c r="I489" s="61"/>
      <c r="J489" s="61"/>
      <c r="K489" s="112"/>
      <c r="L489" s="112"/>
      <c r="M489" s="112"/>
      <c r="N489" s="112"/>
      <c r="O489" s="683">
        <v>148489264.17</v>
      </c>
      <c r="P489" s="683">
        <v>148489264.17</v>
      </c>
      <c r="Q489" s="141">
        <v>148391678.17</v>
      </c>
      <c r="R489" s="141">
        <v>150379411.97</v>
      </c>
      <c r="S489" s="75">
        <v>148931698.06</v>
      </c>
      <c r="T489" s="115"/>
      <c r="U489" s="115"/>
      <c r="V489" s="114">
        <f>145447736.92+1987733.88</f>
        <v>147435470.79999998</v>
      </c>
      <c r="W489" s="114">
        <v>145381892.93</v>
      </c>
      <c r="X489" s="115"/>
      <c r="Y489" s="115"/>
      <c r="Z489" s="114">
        <v>140344160.53</v>
      </c>
    </row>
    <row r="490" spans="2:26" ht="15">
      <c r="B490" s="72" t="s">
        <v>26</v>
      </c>
      <c r="C490" s="60"/>
      <c r="D490" s="60"/>
      <c r="E490" s="60"/>
      <c r="F490" s="60"/>
      <c r="G490" s="60"/>
      <c r="H490" s="61"/>
      <c r="I490" s="61"/>
      <c r="J490" s="61"/>
      <c r="K490" s="112"/>
      <c r="L490" s="112"/>
      <c r="M490" s="112"/>
      <c r="N490" s="112"/>
      <c r="O490" s="684"/>
      <c r="P490" s="684"/>
      <c r="Q490" s="199"/>
      <c r="R490" s="112"/>
      <c r="S490" s="112"/>
      <c r="T490" s="115"/>
      <c r="U490" s="115"/>
      <c r="V490" s="115"/>
      <c r="W490" s="114"/>
      <c r="X490" s="115"/>
      <c r="Y490" s="115"/>
      <c r="Z490" s="114"/>
    </row>
    <row r="491" spans="2:26" ht="15.75" thickBot="1">
      <c r="B491" s="60" t="s">
        <v>151</v>
      </c>
      <c r="C491" s="60"/>
      <c r="D491" s="60"/>
      <c r="E491" s="60"/>
      <c r="F491" s="60"/>
      <c r="G491" s="60"/>
      <c r="H491" s="62">
        <v>38219130.13</v>
      </c>
      <c r="I491" s="62"/>
      <c r="J491" s="62"/>
      <c r="K491" s="112"/>
      <c r="L491" s="112"/>
      <c r="M491" s="112"/>
      <c r="N491" s="112"/>
      <c r="O491" s="684">
        <v>83825405.01</v>
      </c>
      <c r="P491" s="684">
        <v>77928568.89</v>
      </c>
      <c r="Q491" s="199">
        <v>72025953.56</v>
      </c>
      <c r="R491" s="75">
        <v>66285404.12</v>
      </c>
      <c r="S491" s="75">
        <v>60423177.78</v>
      </c>
      <c r="T491" s="115"/>
      <c r="U491" s="115"/>
      <c r="V491" s="114">
        <v>54563364.25</v>
      </c>
      <c r="W491" s="114">
        <v>48739493.29</v>
      </c>
      <c r="X491" s="115"/>
      <c r="Y491" s="115"/>
      <c r="Z491" s="114">
        <v>42950613.13</v>
      </c>
    </row>
    <row r="492" spans="2:26" ht="18" thickBot="1">
      <c r="B492" s="109" t="s">
        <v>146</v>
      </c>
      <c r="C492" s="60"/>
      <c r="D492" s="60"/>
      <c r="E492" s="60"/>
      <c r="F492" s="60"/>
      <c r="G492" s="60"/>
      <c r="H492" s="66">
        <f>+H489-H491</f>
        <v>102125030.4</v>
      </c>
      <c r="I492" s="73"/>
      <c r="J492" s="73"/>
      <c r="K492" s="112"/>
      <c r="L492" s="112"/>
      <c r="M492" s="112"/>
      <c r="N492" s="112"/>
      <c r="O492" s="685">
        <f>+O489-O491</f>
        <v>64663859.15999998</v>
      </c>
      <c r="P492" s="685">
        <f>++P489-P491</f>
        <v>70560695.27999999</v>
      </c>
      <c r="Q492" s="201">
        <f>++Q489-Q491</f>
        <v>76365724.60999998</v>
      </c>
      <c r="R492" s="201">
        <f>+R489-R491</f>
        <v>84094007.85</v>
      </c>
      <c r="S492" s="201">
        <f>+S489-S491</f>
        <v>88508520.28</v>
      </c>
      <c r="T492" s="115"/>
      <c r="U492" s="115"/>
      <c r="V492" s="301">
        <f>+V489-V491</f>
        <v>92872106.54999998</v>
      </c>
      <c r="W492" s="301">
        <f>+W489-W491</f>
        <v>96642399.64000002</v>
      </c>
      <c r="X492" s="115"/>
      <c r="Y492" s="115"/>
      <c r="Z492" s="301">
        <f>+Z489-Z491</f>
        <v>97393547.4</v>
      </c>
    </row>
    <row r="493" spans="2:26" ht="15.75" hidden="1" thickTop="1">
      <c r="B493" s="60"/>
      <c r="C493" s="60"/>
      <c r="D493" s="60"/>
      <c r="E493" s="60"/>
      <c r="F493" s="60"/>
      <c r="G493" s="60"/>
      <c r="H493" s="61"/>
      <c r="I493" s="61"/>
      <c r="J493" s="61"/>
      <c r="K493" s="112"/>
      <c r="L493" s="112"/>
      <c r="M493" s="112"/>
      <c r="N493" s="112"/>
      <c r="O493" s="683"/>
      <c r="P493" s="683"/>
      <c r="Q493" s="128"/>
      <c r="R493" s="112"/>
      <c r="S493" s="112"/>
      <c r="T493" s="115"/>
      <c r="U493" s="115"/>
      <c r="V493" s="115"/>
      <c r="W493" s="115"/>
      <c r="X493" s="115"/>
      <c r="Y493" s="115"/>
      <c r="Z493" s="114"/>
    </row>
    <row r="494" spans="2:26" ht="14.25" hidden="1">
      <c r="B494" s="12"/>
      <c r="C494" s="12"/>
      <c r="D494" s="12"/>
      <c r="E494" s="12"/>
      <c r="F494" s="12"/>
      <c r="G494" s="12"/>
      <c r="H494" s="6"/>
      <c r="I494" s="6"/>
      <c r="J494" s="6"/>
      <c r="O494" s="686"/>
      <c r="P494" s="686"/>
      <c r="Z494" s="286"/>
    </row>
    <row r="495" spans="2:26" ht="15.75" thickTop="1">
      <c r="B495" s="72"/>
      <c r="C495" s="12"/>
      <c r="D495" s="12"/>
      <c r="E495" s="12"/>
      <c r="F495" s="12"/>
      <c r="G495" s="12"/>
      <c r="H495" s="6"/>
      <c r="I495" s="6"/>
      <c r="J495" s="6"/>
      <c r="O495" s="686"/>
      <c r="P495" s="686"/>
      <c r="Z495" s="286"/>
    </row>
    <row r="496" spans="2:51" s="168" customFormat="1" ht="18">
      <c r="B496" s="109" t="s">
        <v>618</v>
      </c>
      <c r="C496" s="12"/>
      <c r="D496" s="12"/>
      <c r="E496" s="12"/>
      <c r="F496" s="12"/>
      <c r="G496" s="12"/>
      <c r="H496" s="6"/>
      <c r="I496" s="6"/>
      <c r="J496" s="6"/>
      <c r="O496" s="456"/>
      <c r="T496" s="125"/>
      <c r="U496" s="125"/>
      <c r="V496" s="125"/>
      <c r="W496" s="125"/>
      <c r="X496" s="125"/>
      <c r="Y496" s="125"/>
      <c r="Z496" s="286"/>
      <c r="AA496" s="125"/>
      <c r="AB496" s="125"/>
      <c r="AC496" s="125"/>
      <c r="AD496" s="125"/>
      <c r="AE496" s="125"/>
      <c r="AF496" s="125"/>
      <c r="AG496" s="125"/>
      <c r="AM496" s="125"/>
      <c r="AN496" s="332"/>
      <c r="AO496" s="462"/>
      <c r="AP496" s="462"/>
      <c r="AQ496" s="462"/>
      <c r="AR496" s="462"/>
      <c r="AS496" s="462"/>
      <c r="AT496" s="462"/>
      <c r="AU496" s="462"/>
      <c r="AV496" s="462"/>
      <c r="AW496" s="462"/>
      <c r="AX496" s="462"/>
      <c r="AY496" s="462"/>
    </row>
    <row r="497" spans="2:26" ht="21">
      <c r="B497" s="182" t="s">
        <v>22</v>
      </c>
      <c r="C497" s="12"/>
      <c r="D497" s="12"/>
      <c r="E497" s="12"/>
      <c r="F497" s="12"/>
      <c r="G497" s="12"/>
      <c r="H497" s="6"/>
      <c r="I497" s="6"/>
      <c r="J497" s="6"/>
      <c r="Z497" s="286"/>
    </row>
    <row r="498" spans="2:26" ht="15">
      <c r="B498" s="60" t="s">
        <v>678</v>
      </c>
      <c r="C498" s="12"/>
      <c r="D498" s="12"/>
      <c r="E498" s="12"/>
      <c r="F498" s="12"/>
      <c r="G498" s="12"/>
      <c r="H498" s="6"/>
      <c r="I498" s="6"/>
      <c r="J498" s="6"/>
      <c r="Z498" s="286"/>
    </row>
    <row r="499" spans="2:26" ht="15">
      <c r="B499" s="60" t="s">
        <v>152</v>
      </c>
      <c r="C499" s="12"/>
      <c r="D499" s="12"/>
      <c r="E499" s="12"/>
      <c r="F499" s="12"/>
      <c r="G499" s="12"/>
      <c r="H499" s="6"/>
      <c r="I499" s="6"/>
      <c r="J499" s="6"/>
      <c r="Z499" s="286"/>
    </row>
    <row r="500" spans="2:26" ht="15">
      <c r="B500" s="60" t="s">
        <v>153</v>
      </c>
      <c r="C500" s="12"/>
      <c r="D500" s="12"/>
      <c r="E500" s="12"/>
      <c r="F500" s="12"/>
      <c r="G500" s="12"/>
      <c r="H500" s="6"/>
      <c r="I500" s="6"/>
      <c r="J500" s="6"/>
      <c r="Z500" s="286"/>
    </row>
    <row r="501" spans="2:26" ht="15">
      <c r="B501" s="60"/>
      <c r="C501" s="12"/>
      <c r="D501" s="12"/>
      <c r="E501" s="12"/>
      <c r="F501" s="12"/>
      <c r="G501" s="12"/>
      <c r="H501" s="6"/>
      <c r="I501" s="6"/>
      <c r="J501" s="6"/>
      <c r="P501" s="456"/>
      <c r="Q501" s="530" t="s">
        <v>642</v>
      </c>
      <c r="R501" s="217"/>
      <c r="S501" s="217"/>
      <c r="Z501" s="286"/>
    </row>
    <row r="502" spans="2:26" ht="18">
      <c r="B502" s="109" t="s">
        <v>22</v>
      </c>
      <c r="C502" s="12"/>
      <c r="D502" s="12"/>
      <c r="E502" s="12"/>
      <c r="F502" s="12"/>
      <c r="G502" s="12"/>
      <c r="H502" s="12"/>
      <c r="I502" s="12"/>
      <c r="J502" s="12"/>
      <c r="O502" s="32">
        <v>2023</v>
      </c>
      <c r="P502" s="32">
        <v>2022</v>
      </c>
      <c r="Q502" s="110">
        <v>2021</v>
      </c>
      <c r="R502" s="110">
        <v>2020</v>
      </c>
      <c r="S502" s="110">
        <v>2019</v>
      </c>
      <c r="V502" s="277">
        <v>2018</v>
      </c>
      <c r="W502" s="295">
        <v>2017</v>
      </c>
      <c r="X502" s="300"/>
      <c r="Y502" s="300"/>
      <c r="Z502" s="295">
        <v>2016</v>
      </c>
    </row>
    <row r="503" spans="2:26" ht="15">
      <c r="B503" s="60" t="s">
        <v>154</v>
      </c>
      <c r="C503" s="60"/>
      <c r="D503" s="60"/>
      <c r="E503" s="60"/>
      <c r="F503" s="60"/>
      <c r="G503" s="60"/>
      <c r="H503" s="61">
        <v>49805</v>
      </c>
      <c r="I503" s="61"/>
      <c r="J503" s="61"/>
      <c r="K503" s="112"/>
      <c r="L503" s="112"/>
      <c r="M503" s="112"/>
      <c r="N503" s="112"/>
      <c r="O503" s="670">
        <v>49805</v>
      </c>
      <c r="P503" s="670">
        <v>49805</v>
      </c>
      <c r="Q503" s="67">
        <v>49805</v>
      </c>
      <c r="R503" s="67">
        <v>49805</v>
      </c>
      <c r="S503" s="67">
        <v>49805</v>
      </c>
      <c r="T503" s="115"/>
      <c r="U503" s="115"/>
      <c r="V503" s="114">
        <v>49805</v>
      </c>
      <c r="W503" s="114">
        <v>49805</v>
      </c>
      <c r="X503" s="115"/>
      <c r="Y503" s="115"/>
      <c r="Z503" s="114">
        <v>49805</v>
      </c>
    </row>
    <row r="504" spans="1:26" ht="15">
      <c r="A504" s="168"/>
      <c r="B504" s="60" t="s">
        <v>155</v>
      </c>
      <c r="C504" s="60"/>
      <c r="D504" s="60"/>
      <c r="E504" s="60"/>
      <c r="F504" s="60"/>
      <c r="G504" s="60"/>
      <c r="H504" s="61">
        <v>9352897.54</v>
      </c>
      <c r="I504" s="61"/>
      <c r="J504" s="61"/>
      <c r="K504" s="112"/>
      <c r="L504" s="112"/>
      <c r="M504" s="112"/>
      <c r="N504" s="112"/>
      <c r="O504" s="651">
        <v>0</v>
      </c>
      <c r="P504" s="651">
        <v>0</v>
      </c>
      <c r="Q504" s="199">
        <v>0</v>
      </c>
      <c r="R504" s="75">
        <v>12033349.5</v>
      </c>
      <c r="S504" s="75">
        <v>11012996.04</v>
      </c>
      <c r="T504" s="115"/>
      <c r="U504" s="115"/>
      <c r="V504" s="114">
        <v>10828916.04</v>
      </c>
      <c r="W504" s="114">
        <v>10000435.45</v>
      </c>
      <c r="X504" s="115"/>
      <c r="Y504" s="115"/>
      <c r="Z504" s="114">
        <v>9698345.72</v>
      </c>
    </row>
    <row r="505" spans="2:26" ht="15">
      <c r="B505" s="60" t="s">
        <v>156</v>
      </c>
      <c r="C505" s="60"/>
      <c r="D505" s="60"/>
      <c r="E505" s="60"/>
      <c r="F505" s="60"/>
      <c r="G505" s="60"/>
      <c r="H505" s="61">
        <f>6007285.94</f>
        <v>6007285.94</v>
      </c>
      <c r="I505" s="61"/>
      <c r="J505" s="61"/>
      <c r="K505" s="112"/>
      <c r="L505" s="112"/>
      <c r="M505" s="112"/>
      <c r="N505" s="112"/>
      <c r="O505" s="658">
        <v>6007285.94</v>
      </c>
      <c r="P505" s="658">
        <v>6007285.94</v>
      </c>
      <c r="Q505" s="199">
        <v>6007285.94</v>
      </c>
      <c r="R505" s="75">
        <v>6007285.94</v>
      </c>
      <c r="S505" s="75">
        <v>6007285.94</v>
      </c>
      <c r="T505" s="115"/>
      <c r="U505" s="115"/>
      <c r="V505" s="114">
        <v>6007285.94</v>
      </c>
      <c r="W505" s="114">
        <v>6007285.94</v>
      </c>
      <c r="X505" s="115"/>
      <c r="Y505" s="115"/>
      <c r="Z505" s="114">
        <v>6007285.94</v>
      </c>
    </row>
    <row r="506" spans="2:26" ht="15">
      <c r="B506" s="60" t="s">
        <v>157</v>
      </c>
      <c r="C506" s="60"/>
      <c r="D506" s="60"/>
      <c r="E506" s="60"/>
      <c r="F506" s="60"/>
      <c r="G506" s="60"/>
      <c r="H506" s="61">
        <v>979984.81</v>
      </c>
      <c r="I506" s="61"/>
      <c r="J506" s="61"/>
      <c r="K506" s="112"/>
      <c r="L506" s="112"/>
      <c r="M506" s="112"/>
      <c r="N506" s="112"/>
      <c r="O506" s="658">
        <v>979984.81</v>
      </c>
      <c r="P506" s="658">
        <v>979984.81</v>
      </c>
      <c r="Q506" s="199">
        <v>979984.81</v>
      </c>
      <c r="R506" s="75">
        <v>979984.81</v>
      </c>
      <c r="S506" s="75">
        <v>979984.81</v>
      </c>
      <c r="T506" s="115"/>
      <c r="U506" s="115"/>
      <c r="V506" s="114">
        <v>979984.81</v>
      </c>
      <c r="W506" s="114">
        <v>979984.81</v>
      </c>
      <c r="X506" s="115"/>
      <c r="Y506" s="115"/>
      <c r="Z506" s="114">
        <v>979984.81</v>
      </c>
    </row>
    <row r="507" spans="2:26" ht="15">
      <c r="B507" s="60" t="s">
        <v>539</v>
      </c>
      <c r="C507" s="60"/>
      <c r="D507" s="60"/>
      <c r="E507" s="60"/>
      <c r="F507" s="60"/>
      <c r="G507" s="60"/>
      <c r="H507" s="61">
        <v>3037938.1</v>
      </c>
      <c r="I507" s="61"/>
      <c r="J507" s="61"/>
      <c r="K507" s="112"/>
      <c r="L507" s="112"/>
      <c r="M507" s="112"/>
      <c r="N507" s="112"/>
      <c r="O507" s="658">
        <v>3037938.1</v>
      </c>
      <c r="P507" s="658">
        <v>3037938.1</v>
      </c>
      <c r="Q507" s="199">
        <v>3037938.1</v>
      </c>
      <c r="R507" s="75">
        <v>3037938.1</v>
      </c>
      <c r="S507" s="75">
        <v>3037938.1</v>
      </c>
      <c r="T507" s="115"/>
      <c r="U507" s="115"/>
      <c r="V507" s="114">
        <v>3037938.1</v>
      </c>
      <c r="W507" s="114">
        <v>3037938.1</v>
      </c>
      <c r="X507" s="115"/>
      <c r="Y507" s="115"/>
      <c r="Z507" s="114">
        <v>3037938.1</v>
      </c>
    </row>
    <row r="508" spans="2:26" ht="15">
      <c r="B508" s="60" t="s">
        <v>158</v>
      </c>
      <c r="C508" s="60"/>
      <c r="D508" s="60"/>
      <c r="E508" s="60"/>
      <c r="F508" s="60"/>
      <c r="G508" s="60"/>
      <c r="H508" s="61">
        <v>1856898.48</v>
      </c>
      <c r="I508" s="61"/>
      <c r="J508" s="61"/>
      <c r="K508" s="112"/>
      <c r="L508" s="112"/>
      <c r="M508" s="112"/>
      <c r="N508" s="112"/>
      <c r="O508" s="658">
        <v>1947.51</v>
      </c>
      <c r="P508" s="658">
        <v>1947.51</v>
      </c>
      <c r="Q508" s="199">
        <v>1947.51</v>
      </c>
      <c r="R508" s="75">
        <v>1947.51</v>
      </c>
      <c r="S508" s="75">
        <v>1856898.48</v>
      </c>
      <c r="T508" s="115"/>
      <c r="U508" s="115"/>
      <c r="V508" s="114">
        <v>1856898.48</v>
      </c>
      <c r="W508" s="114">
        <v>1856898.48</v>
      </c>
      <c r="X508" s="115"/>
      <c r="Y508" s="115"/>
      <c r="Z508" s="114">
        <v>1856898.48</v>
      </c>
    </row>
    <row r="509" spans="2:26" ht="15">
      <c r="B509" s="60" t="s">
        <v>159</v>
      </c>
      <c r="C509" s="60"/>
      <c r="D509" s="60"/>
      <c r="E509" s="60"/>
      <c r="F509" s="60"/>
      <c r="G509" s="60"/>
      <c r="H509" s="61">
        <v>10268276.4</v>
      </c>
      <c r="I509" s="61"/>
      <c r="J509" s="61"/>
      <c r="K509" s="112"/>
      <c r="L509" s="112"/>
      <c r="M509" s="112"/>
      <c r="N509" s="112"/>
      <c r="O509" s="658">
        <v>11554356.13</v>
      </c>
      <c r="P509" s="658">
        <v>11511363.82</v>
      </c>
      <c r="Q509" s="199">
        <v>11412715.82</v>
      </c>
      <c r="R509" s="75">
        <v>11234852.3</v>
      </c>
      <c r="S509" s="75">
        <v>11234852.3</v>
      </c>
      <c r="T509" s="115"/>
      <c r="U509" s="115"/>
      <c r="V509" s="114">
        <v>10268276.4</v>
      </c>
      <c r="W509" s="114">
        <v>10268276.4</v>
      </c>
      <c r="X509" s="115"/>
      <c r="Y509" s="115"/>
      <c r="Z509" s="114">
        <v>10268276.4</v>
      </c>
    </row>
    <row r="510" spans="2:26" ht="15">
      <c r="B510" s="60" t="s">
        <v>160</v>
      </c>
      <c r="C510" s="60"/>
      <c r="D510" s="60"/>
      <c r="E510" s="60"/>
      <c r="F510" s="60"/>
      <c r="G510" s="60"/>
      <c r="H510" s="61">
        <v>4947255.08</v>
      </c>
      <c r="I510" s="61"/>
      <c r="J510" s="61"/>
      <c r="K510" s="112"/>
      <c r="L510" s="112"/>
      <c r="M510" s="112"/>
      <c r="N510" s="112"/>
      <c r="O510" s="658">
        <v>4947255.08</v>
      </c>
      <c r="P510" s="658">
        <v>4947255.08</v>
      </c>
      <c r="Q510" s="199">
        <v>4947255.08</v>
      </c>
      <c r="R510" s="75">
        <v>4947255.08</v>
      </c>
      <c r="S510" s="75">
        <v>4947255.08</v>
      </c>
      <c r="T510" s="115"/>
      <c r="U510" s="115"/>
      <c r="V510" s="114">
        <v>4947255.08</v>
      </c>
      <c r="W510" s="114">
        <v>4947255.08</v>
      </c>
      <c r="X510" s="115"/>
      <c r="Y510" s="115"/>
      <c r="Z510" s="114">
        <v>4947255.08</v>
      </c>
    </row>
    <row r="511" spans="2:26" ht="15">
      <c r="B511" s="60" t="s">
        <v>161</v>
      </c>
      <c r="C511" s="60"/>
      <c r="D511" s="60"/>
      <c r="E511" s="60"/>
      <c r="F511" s="60"/>
      <c r="G511" s="60"/>
      <c r="H511" s="61">
        <v>654796.8</v>
      </c>
      <c r="I511" s="61"/>
      <c r="J511" s="61"/>
      <c r="K511" s="112"/>
      <c r="L511" s="112"/>
      <c r="M511" s="112"/>
      <c r="N511" s="112"/>
      <c r="O511" s="658">
        <v>654796.8</v>
      </c>
      <c r="P511" s="658">
        <v>654796.8</v>
      </c>
      <c r="Q511" s="199">
        <v>654796.8</v>
      </c>
      <c r="R511" s="75">
        <v>654796.8</v>
      </c>
      <c r="S511" s="75">
        <v>654796.8</v>
      </c>
      <c r="T511" s="115"/>
      <c r="U511" s="115"/>
      <c r="V511" s="114">
        <v>654796.8</v>
      </c>
      <c r="W511" s="114">
        <v>654796.8</v>
      </c>
      <c r="X511" s="115"/>
      <c r="Y511" s="115"/>
      <c r="Z511" s="114">
        <v>654796.8</v>
      </c>
    </row>
    <row r="512" spans="2:26" ht="15">
      <c r="B512" s="60" t="s">
        <v>589</v>
      </c>
      <c r="C512" s="60"/>
      <c r="D512" s="60"/>
      <c r="E512" s="60"/>
      <c r="F512" s="60"/>
      <c r="G512" s="60"/>
      <c r="H512" s="61"/>
      <c r="I512" s="61"/>
      <c r="J512" s="61"/>
      <c r="K512" s="112"/>
      <c r="L512" s="112"/>
      <c r="M512" s="112"/>
      <c r="N512" s="112"/>
      <c r="O512" s="658">
        <v>17748</v>
      </c>
      <c r="P512" s="658">
        <v>17748</v>
      </c>
      <c r="Q512" s="199">
        <v>17748</v>
      </c>
      <c r="R512" s="75">
        <v>17748</v>
      </c>
      <c r="S512" s="75">
        <v>17748</v>
      </c>
      <c r="T512" s="115"/>
      <c r="U512" s="115"/>
      <c r="V512" s="114">
        <v>17748</v>
      </c>
      <c r="W512" s="114"/>
      <c r="X512" s="115"/>
      <c r="Y512" s="115"/>
      <c r="Z512" s="114"/>
    </row>
    <row r="513" spans="2:26" ht="15">
      <c r="B513" s="60" t="s">
        <v>162</v>
      </c>
      <c r="C513" s="60"/>
      <c r="D513" s="60"/>
      <c r="E513" s="60"/>
      <c r="F513" s="60"/>
      <c r="G513" s="60"/>
      <c r="H513" s="61">
        <v>7680788.08</v>
      </c>
      <c r="I513" s="61"/>
      <c r="J513" s="61"/>
      <c r="K513" s="112"/>
      <c r="L513" s="112"/>
      <c r="M513" s="112"/>
      <c r="N513" s="112"/>
      <c r="O513" s="658">
        <v>7680788.08</v>
      </c>
      <c r="P513" s="658">
        <v>7680788.08</v>
      </c>
      <c r="Q513" s="199">
        <v>7680788.08</v>
      </c>
      <c r="R513" s="75">
        <v>7680788.08</v>
      </c>
      <c r="S513" s="75">
        <v>7680788.08</v>
      </c>
      <c r="T513" s="115"/>
      <c r="U513" s="115"/>
      <c r="V513" s="114">
        <v>7680788.08</v>
      </c>
      <c r="W513" s="114">
        <v>7680788.08</v>
      </c>
      <c r="X513" s="115"/>
      <c r="Y513" s="115"/>
      <c r="Z513" s="114">
        <v>7680788.08</v>
      </c>
    </row>
    <row r="514" spans="2:26" ht="15">
      <c r="B514" s="60" t="s">
        <v>614</v>
      </c>
      <c r="C514" s="60"/>
      <c r="D514" s="60"/>
      <c r="E514" s="60"/>
      <c r="F514" s="60"/>
      <c r="G514" s="60"/>
      <c r="H514" s="61"/>
      <c r="I514" s="61"/>
      <c r="J514" s="61"/>
      <c r="K514" s="112"/>
      <c r="L514" s="112"/>
      <c r="M514" s="112"/>
      <c r="N514" s="112"/>
      <c r="O514" s="658">
        <v>834600</v>
      </c>
      <c r="P514" s="658">
        <v>834600</v>
      </c>
      <c r="Q514" s="199">
        <v>834600</v>
      </c>
      <c r="R514" s="75">
        <v>834600</v>
      </c>
      <c r="S514" s="75">
        <v>834600</v>
      </c>
      <c r="T514" s="115"/>
      <c r="U514" s="115"/>
      <c r="V514" s="114"/>
      <c r="W514" s="114"/>
      <c r="X514" s="115"/>
      <c r="Y514" s="115"/>
      <c r="Z514" s="114"/>
    </row>
    <row r="515" spans="2:26" ht="15.75" thickBot="1">
      <c r="B515" s="60" t="s">
        <v>163</v>
      </c>
      <c r="C515" s="60"/>
      <c r="D515" s="60"/>
      <c r="E515" s="60"/>
      <c r="F515" s="60"/>
      <c r="G515" s="60"/>
      <c r="H515" s="63">
        <v>667000</v>
      </c>
      <c r="I515" s="62"/>
      <c r="J515" s="62"/>
      <c r="K515" s="112"/>
      <c r="L515" s="112"/>
      <c r="M515" s="112"/>
      <c r="N515" s="112"/>
      <c r="O515" s="656">
        <v>667000</v>
      </c>
      <c r="P515" s="656">
        <v>667000</v>
      </c>
      <c r="Q515" s="88">
        <v>667000</v>
      </c>
      <c r="R515" s="88">
        <v>667000</v>
      </c>
      <c r="S515" s="88">
        <v>667000</v>
      </c>
      <c r="T515" s="115"/>
      <c r="U515" s="115"/>
      <c r="V515" s="284">
        <v>667000</v>
      </c>
      <c r="W515" s="284">
        <v>667000</v>
      </c>
      <c r="X515" s="115"/>
      <c r="Y515" s="115"/>
      <c r="Z515" s="284">
        <v>667000</v>
      </c>
    </row>
    <row r="516" spans="2:26" ht="15.75" thickBot="1">
      <c r="B516" s="60" t="s">
        <v>656</v>
      </c>
      <c r="C516" s="60"/>
      <c r="D516" s="60"/>
      <c r="E516" s="60"/>
      <c r="F516" s="60"/>
      <c r="G516" s="60"/>
      <c r="H516" s="62"/>
      <c r="I516" s="62"/>
      <c r="J516" s="62"/>
      <c r="K516" s="112"/>
      <c r="L516" s="112"/>
      <c r="M516" s="112"/>
      <c r="N516" s="112"/>
      <c r="O516" s="657">
        <v>19756.48</v>
      </c>
      <c r="P516" s="657">
        <v>19756.48</v>
      </c>
      <c r="Q516" s="86">
        <v>19756.48</v>
      </c>
      <c r="R516" s="86">
        <v>19756.48</v>
      </c>
      <c r="S516" s="86"/>
      <c r="T516" s="115"/>
      <c r="U516" s="115"/>
      <c r="V516" s="302"/>
      <c r="W516" s="302"/>
      <c r="X516" s="115"/>
      <c r="Y516" s="115"/>
      <c r="Z516" s="302"/>
    </row>
    <row r="517" spans="2:26" ht="15">
      <c r="B517" s="60"/>
      <c r="C517" s="60"/>
      <c r="D517" s="60"/>
      <c r="E517" s="60"/>
      <c r="F517" s="60"/>
      <c r="G517" s="60"/>
      <c r="H517" s="69">
        <f>SUM(H503:H515)</f>
        <v>45502926.23</v>
      </c>
      <c r="I517" s="69"/>
      <c r="J517" s="69"/>
      <c r="K517" s="112"/>
      <c r="L517" s="112"/>
      <c r="M517" s="112"/>
      <c r="N517" s="112"/>
      <c r="O517" s="673">
        <f>SUM(O503:O516)</f>
        <v>36453261.93</v>
      </c>
      <c r="P517" s="673">
        <f>SUM(P503:P516)</f>
        <v>36410269.62</v>
      </c>
      <c r="Q517" s="204">
        <f>SUM(Q503:Q516)</f>
        <v>36311621.62</v>
      </c>
      <c r="R517" s="204">
        <f>SUM(R503:R516)</f>
        <v>48167107.599999994</v>
      </c>
      <c r="S517" s="204">
        <f>SUM(S503:S515)</f>
        <v>48981948.629999995</v>
      </c>
      <c r="T517" s="303"/>
      <c r="U517" s="115"/>
      <c r="V517" s="305">
        <f>SUM(V503:V515)</f>
        <v>46996692.73</v>
      </c>
      <c r="W517" s="305">
        <f>SUM(W503:W515)</f>
        <v>46150464.13999999</v>
      </c>
      <c r="X517" s="115"/>
      <c r="Y517" s="115"/>
      <c r="Z517" s="305">
        <f>SUM(Z503:Z515)</f>
        <v>45848374.41</v>
      </c>
    </row>
    <row r="518" spans="2:26" ht="15">
      <c r="B518" s="72" t="s">
        <v>26</v>
      </c>
      <c r="C518" s="60"/>
      <c r="D518" s="60"/>
      <c r="E518" s="60"/>
      <c r="F518" s="60"/>
      <c r="G518" s="60"/>
      <c r="H518" s="69"/>
      <c r="I518" s="69"/>
      <c r="J518" s="69"/>
      <c r="K518" s="112"/>
      <c r="L518" s="112"/>
      <c r="M518" s="112"/>
      <c r="N518" s="112"/>
      <c r="O518" s="649"/>
      <c r="P518" s="649"/>
      <c r="Q518" s="128"/>
      <c r="R518" s="112"/>
      <c r="S518" s="112"/>
      <c r="T518" s="319"/>
      <c r="U518" s="115"/>
      <c r="V518" s="115"/>
      <c r="W518" s="114"/>
      <c r="X518" s="115"/>
      <c r="Y518" s="115"/>
      <c r="Z518" s="114"/>
    </row>
    <row r="519" spans="2:26" ht="15">
      <c r="B519" s="60" t="s">
        <v>151</v>
      </c>
      <c r="C519" s="60"/>
      <c r="D519" s="60"/>
      <c r="E519" s="60"/>
      <c r="F519" s="60"/>
      <c r="G519" s="60"/>
      <c r="H519" s="62">
        <v>23555907.2</v>
      </c>
      <c r="I519" s="73"/>
      <c r="J519" s="73"/>
      <c r="K519" s="112"/>
      <c r="L519" s="112"/>
      <c r="M519" s="112"/>
      <c r="N519" s="112"/>
      <c r="O519" s="669">
        <f>+'Depreciación Acumulada'!E207</f>
        <v>30646523.080000002</v>
      </c>
      <c r="P519" s="669">
        <f>+'Depreciación Acumulada'!F207</f>
        <v>28215404.419999998</v>
      </c>
      <c r="Q519" s="85">
        <f>+'Depreciación Acumulada'!G207</f>
        <v>25749099.88</v>
      </c>
      <c r="R519" s="85">
        <f>+'Depreciación Acumulada'!H207</f>
        <v>30790615.45</v>
      </c>
      <c r="S519" s="85">
        <f>+'Depreciación Acumulada'!I207</f>
        <v>29734940.900000002</v>
      </c>
      <c r="T519" s="115"/>
      <c r="U519" s="115"/>
      <c r="V519" s="282">
        <v>30087204.24</v>
      </c>
      <c r="W519" s="282">
        <v>29518542.29</v>
      </c>
      <c r="X519" s="115"/>
      <c r="Y519" s="115"/>
      <c r="Z519" s="282">
        <v>25289708.34</v>
      </c>
    </row>
    <row r="520" spans="2:26" ht="18" thickBot="1">
      <c r="B520" s="109" t="s">
        <v>146</v>
      </c>
      <c r="C520" s="60"/>
      <c r="D520" s="60"/>
      <c r="E520" s="60"/>
      <c r="F520" s="60"/>
      <c r="G520" s="60"/>
      <c r="H520" s="66">
        <f>+H517-H519</f>
        <v>21947019.029999997</v>
      </c>
      <c r="I520" s="73"/>
      <c r="J520" s="73"/>
      <c r="K520" s="128"/>
      <c r="L520" s="112"/>
      <c r="M520" s="112"/>
      <c r="N520" s="112"/>
      <c r="O520" s="673">
        <f>+O517-O519</f>
        <v>5806738.849999998</v>
      </c>
      <c r="P520" s="673">
        <f>+P517-P519</f>
        <v>8194865.199999999</v>
      </c>
      <c r="Q520" s="204">
        <f>+Q517-Q519</f>
        <v>10562521.739999998</v>
      </c>
      <c r="R520" s="204">
        <f>+R517-R519</f>
        <v>17376492.149999995</v>
      </c>
      <c r="S520" s="204">
        <f>+S517-S519</f>
        <v>19247007.729999993</v>
      </c>
      <c r="T520" s="115"/>
      <c r="U520" s="115"/>
      <c r="V520" s="301">
        <f>+V517-V519</f>
        <v>16909488.49</v>
      </c>
      <c r="W520" s="301">
        <f>+W517-W519</f>
        <v>16631921.849999994</v>
      </c>
      <c r="X520" s="115"/>
      <c r="Y520" s="115"/>
      <c r="Z520" s="301">
        <f>+Z517-Z519</f>
        <v>20558666.069999997</v>
      </c>
    </row>
    <row r="521" spans="2:26" ht="15" thickBot="1" thickTop="1">
      <c r="B521" s="12"/>
      <c r="C521" s="12"/>
      <c r="D521" s="12"/>
      <c r="E521" s="12"/>
      <c r="F521" s="12"/>
      <c r="G521" s="12"/>
      <c r="H521" s="6"/>
      <c r="I521" s="6"/>
      <c r="J521" s="6"/>
      <c r="O521" s="687"/>
      <c r="P521" s="687"/>
      <c r="Q521" s="157"/>
      <c r="R521" s="157"/>
      <c r="S521" s="157"/>
      <c r="V521" s="320"/>
      <c r="W521" s="286"/>
      <c r="Z521" s="286"/>
    </row>
    <row r="522" spans="2:26" ht="18" thickBot="1">
      <c r="B522" s="153" t="s">
        <v>619</v>
      </c>
      <c r="C522" s="153"/>
      <c r="D522" s="153"/>
      <c r="E522" s="153"/>
      <c r="F522" s="153"/>
      <c r="G522" s="153"/>
      <c r="H522" s="44">
        <f>+H492+H520</f>
        <v>124072049.43</v>
      </c>
      <c r="I522" s="6"/>
      <c r="J522" s="6"/>
      <c r="O522" s="688">
        <f>+O492+O520</f>
        <v>70470598.00999998</v>
      </c>
      <c r="P522" s="688">
        <f>+P492+P520</f>
        <v>78755560.47999999</v>
      </c>
      <c r="Q522" s="205">
        <f>+Q492+Q520</f>
        <v>86928246.34999998</v>
      </c>
      <c r="R522" s="205">
        <f>+R492+R520</f>
        <v>101470499.99999999</v>
      </c>
      <c r="S522" s="205">
        <f>+S492+S520</f>
        <v>107755528.00999999</v>
      </c>
      <c r="V522" s="321">
        <f>+V492+V520</f>
        <v>109781595.03999998</v>
      </c>
      <c r="W522" s="321">
        <f>+W492+W520</f>
        <v>113274321.49000001</v>
      </c>
      <c r="Z522" s="321">
        <f>+Z492+Z520</f>
        <v>117952213.47</v>
      </c>
    </row>
    <row r="523" spans="2:26" ht="15" thickTop="1">
      <c r="B523" s="12"/>
      <c r="C523" s="12"/>
      <c r="D523" s="12"/>
      <c r="E523" s="12"/>
      <c r="F523" s="12"/>
      <c r="G523" s="12"/>
      <c r="H523" s="6"/>
      <c r="I523" s="6"/>
      <c r="J523" s="6"/>
      <c r="O523" s="664"/>
      <c r="P523" s="664"/>
      <c r="Z523" s="286"/>
    </row>
    <row r="524" spans="2:51" s="456" customFormat="1" ht="14.25">
      <c r="B524" s="12"/>
      <c r="C524" s="12"/>
      <c r="D524" s="12"/>
      <c r="E524" s="12"/>
      <c r="F524" s="12"/>
      <c r="G524" s="12"/>
      <c r="H524" s="6"/>
      <c r="I524" s="6"/>
      <c r="J524" s="6"/>
      <c r="T524" s="462"/>
      <c r="U524" s="462"/>
      <c r="V524" s="462"/>
      <c r="W524" s="462"/>
      <c r="X524" s="462"/>
      <c r="Y524" s="462"/>
      <c r="Z524" s="286"/>
      <c r="AA524" s="462"/>
      <c r="AB524" s="462"/>
      <c r="AC524" s="462"/>
      <c r="AD524" s="462"/>
      <c r="AE524" s="462"/>
      <c r="AF524" s="462"/>
      <c r="AG524" s="462"/>
      <c r="AM524" s="462"/>
      <c r="AN524" s="332"/>
      <c r="AO524" s="462"/>
      <c r="AP524" s="462"/>
      <c r="AQ524" s="462"/>
      <c r="AR524" s="462"/>
      <c r="AS524" s="462"/>
      <c r="AT524" s="462"/>
      <c r="AU524" s="462"/>
      <c r="AV524" s="462"/>
      <c r="AW524" s="462"/>
      <c r="AX524" s="462"/>
      <c r="AY524" s="462"/>
    </row>
    <row r="525" spans="2:51" s="456" customFormat="1" ht="15" thickBot="1">
      <c r="B525" s="538" t="s">
        <v>1014</v>
      </c>
      <c r="C525" s="5"/>
      <c r="D525" s="12"/>
      <c r="E525" s="12"/>
      <c r="F525" s="12"/>
      <c r="G525" s="12"/>
      <c r="H525" s="6"/>
      <c r="I525" s="6"/>
      <c r="J525" s="6"/>
      <c r="T525" s="462"/>
      <c r="U525" s="462"/>
      <c r="V525" s="462"/>
      <c r="W525" s="462"/>
      <c r="X525" s="462"/>
      <c r="Y525" s="462"/>
      <c r="Z525" s="286"/>
      <c r="AA525" s="462"/>
      <c r="AB525" s="462"/>
      <c r="AC525" s="462"/>
      <c r="AD525" s="462"/>
      <c r="AE525" s="462"/>
      <c r="AF525" s="462"/>
      <c r="AG525" s="462"/>
      <c r="AM525" s="462"/>
      <c r="AN525" s="332"/>
      <c r="AO525" s="462"/>
      <c r="AP525" s="462"/>
      <c r="AQ525" s="462"/>
      <c r="AR525" s="462"/>
      <c r="AS525" s="462"/>
      <c r="AT525" s="462"/>
      <c r="AU525" s="462"/>
      <c r="AV525" s="462"/>
      <c r="AW525" s="462"/>
      <c r="AX525" s="462"/>
      <c r="AY525" s="462"/>
    </row>
    <row r="526" spans="2:51" s="456" customFormat="1" ht="14.25">
      <c r="B526" s="539" t="s">
        <v>1015</v>
      </c>
      <c r="C526" s="540"/>
      <c r="D526" s="545"/>
      <c r="E526" s="545"/>
      <c r="F526" s="545"/>
      <c r="G526" s="545"/>
      <c r="H526" s="546"/>
      <c r="I526" s="546"/>
      <c r="J526" s="546"/>
      <c r="K526" s="531"/>
      <c r="L526" s="531"/>
      <c r="M526" s="531"/>
      <c r="N526" s="531"/>
      <c r="O526" s="752">
        <f>+O181</f>
        <v>12579325.97</v>
      </c>
      <c r="P526" s="689">
        <f>+P181</f>
        <v>12579325.97</v>
      </c>
      <c r="T526" s="462"/>
      <c r="U526" s="462"/>
      <c r="V526" s="462"/>
      <c r="W526" s="462"/>
      <c r="X526" s="462"/>
      <c r="Y526" s="462"/>
      <c r="Z526" s="286"/>
      <c r="AA526" s="462"/>
      <c r="AB526" s="462"/>
      <c r="AC526" s="462"/>
      <c r="AD526" s="462"/>
      <c r="AE526" s="462"/>
      <c r="AF526" s="462"/>
      <c r="AG526" s="462"/>
      <c r="AM526" s="462"/>
      <c r="AN526" s="477">
        <f>+O527+O532</f>
        <v>76105936.16999999</v>
      </c>
      <c r="AO526" s="462"/>
      <c r="AP526" s="462"/>
      <c r="AQ526" s="462"/>
      <c r="AR526" s="462"/>
      <c r="AS526" s="462"/>
      <c r="AT526" s="462"/>
      <c r="AU526" s="462"/>
      <c r="AV526" s="462"/>
      <c r="AW526" s="462"/>
      <c r="AX526" s="462"/>
      <c r="AY526" s="462"/>
    </row>
    <row r="527" spans="2:51" s="456" customFormat="1" ht="14.25">
      <c r="B527" s="541" t="s">
        <v>1016</v>
      </c>
      <c r="C527" s="547"/>
      <c r="D527" s="156"/>
      <c r="E527" s="156"/>
      <c r="F527" s="156"/>
      <c r="G527" s="156"/>
      <c r="H527" s="11"/>
      <c r="I527" s="11"/>
      <c r="J527" s="11"/>
      <c r="K527" s="53"/>
      <c r="L527" s="53"/>
      <c r="M527" s="53"/>
      <c r="N527" s="53"/>
      <c r="O527" s="753">
        <f>+O190</f>
        <v>11442077.01</v>
      </c>
      <c r="P527" s="690">
        <f>+P190</f>
        <v>11735464.77</v>
      </c>
      <c r="T527" s="462"/>
      <c r="U527" s="462"/>
      <c r="V527" s="462"/>
      <c r="W527" s="462"/>
      <c r="X527" s="462"/>
      <c r="Y527" s="462"/>
      <c r="Z527" s="286"/>
      <c r="AA527" s="462"/>
      <c r="AB527" s="462"/>
      <c r="AC527" s="462"/>
      <c r="AD527" s="462"/>
      <c r="AE527" s="462"/>
      <c r="AF527" s="462"/>
      <c r="AG527" s="462"/>
      <c r="AM527" s="462"/>
      <c r="AN527" s="477">
        <f>+O408-P408+O433-P433</f>
        <v>602962.2599999998</v>
      </c>
      <c r="AO527" s="739">
        <f>+O527+O532</f>
        <v>76105936.16999999</v>
      </c>
      <c r="AP527" s="462"/>
      <c r="AQ527" s="462"/>
      <c r="AR527" s="462"/>
      <c r="AS527" s="462"/>
      <c r="AT527" s="462"/>
      <c r="AU527" s="462"/>
      <c r="AV527" s="462"/>
      <c r="AW527" s="462"/>
      <c r="AX527" s="462"/>
      <c r="AY527" s="462"/>
    </row>
    <row r="528" spans="2:51" s="456" customFormat="1" ht="15">
      <c r="B528" s="541" t="s">
        <v>1017</v>
      </c>
      <c r="C528" s="547"/>
      <c r="D528" s="156"/>
      <c r="E528" s="156"/>
      <c r="F528" s="156"/>
      <c r="G528" s="156"/>
      <c r="H528" s="11"/>
      <c r="I528" s="11"/>
      <c r="J528" s="11"/>
      <c r="K528" s="53"/>
      <c r="L528" s="53"/>
      <c r="M528" s="53"/>
      <c r="N528" s="53"/>
      <c r="O528" s="651">
        <v>0</v>
      </c>
      <c r="P528" s="697">
        <v>0</v>
      </c>
      <c r="T528" s="462"/>
      <c r="U528" s="462"/>
      <c r="V528" s="462"/>
      <c r="W528" s="462"/>
      <c r="X528" s="462"/>
      <c r="Y528" s="462"/>
      <c r="Z528" s="286"/>
      <c r="AA528" s="462"/>
      <c r="AB528" s="462"/>
      <c r="AC528" s="462"/>
      <c r="AD528" s="462"/>
      <c r="AE528" s="462"/>
      <c r="AF528" s="462"/>
      <c r="AG528" s="462"/>
      <c r="AM528" s="462"/>
      <c r="AN528" s="332"/>
      <c r="AO528" s="462"/>
      <c r="AP528" s="462"/>
      <c r="AQ528" s="462"/>
      <c r="AR528" s="462"/>
      <c r="AS528" s="462"/>
      <c r="AT528" s="462"/>
      <c r="AU528" s="462"/>
      <c r="AV528" s="462"/>
      <c r="AW528" s="462"/>
      <c r="AX528" s="462"/>
      <c r="AY528" s="462"/>
    </row>
    <row r="529" spans="2:51" s="456" customFormat="1" ht="14.25">
      <c r="B529" s="541" t="s">
        <v>1018</v>
      </c>
      <c r="C529" s="547"/>
      <c r="D529" s="156"/>
      <c r="E529" s="156"/>
      <c r="F529" s="156"/>
      <c r="G529" s="156"/>
      <c r="H529" s="11"/>
      <c r="I529" s="11"/>
      <c r="J529" s="11"/>
      <c r="K529" s="53"/>
      <c r="L529" s="53"/>
      <c r="M529" s="53"/>
      <c r="N529" s="53"/>
      <c r="O529" s="753">
        <f>+O453-O213</f>
        <v>22624014.669999998</v>
      </c>
      <c r="P529" s="690">
        <f>+P453-P213</f>
        <v>23859789.88</v>
      </c>
      <c r="T529" s="462"/>
      <c r="U529" s="462"/>
      <c r="V529" s="462"/>
      <c r="W529" s="462"/>
      <c r="X529" s="462"/>
      <c r="Y529" s="462"/>
      <c r="Z529" s="286"/>
      <c r="AA529" s="462"/>
      <c r="AB529" s="462"/>
      <c r="AC529" s="462"/>
      <c r="AD529" s="462"/>
      <c r="AE529" s="462"/>
      <c r="AF529" s="462"/>
      <c r="AG529" s="462"/>
      <c r="AM529" s="462"/>
      <c r="AN529" s="332"/>
      <c r="AO529" s="462"/>
      <c r="AP529" s="462"/>
      <c r="AQ529" s="462"/>
      <c r="AR529" s="462"/>
      <c r="AS529" s="462"/>
      <c r="AT529" s="462"/>
      <c r="AU529" s="462"/>
      <c r="AV529" s="462"/>
      <c r="AW529" s="462"/>
      <c r="AX529" s="462"/>
      <c r="AY529" s="462"/>
    </row>
    <row r="530" spans="2:51" s="456" customFormat="1" ht="15">
      <c r="B530" s="541" t="s">
        <v>1019</v>
      </c>
      <c r="C530" s="547"/>
      <c r="D530" s="156"/>
      <c r="E530" s="156"/>
      <c r="F530" s="156"/>
      <c r="G530" s="156"/>
      <c r="H530" s="11"/>
      <c r="I530" s="11"/>
      <c r="J530" s="11"/>
      <c r="K530" s="53"/>
      <c r="L530" s="53"/>
      <c r="M530" s="53"/>
      <c r="N530" s="53"/>
      <c r="O530" s="750">
        <f>+O213</f>
        <v>0</v>
      </c>
      <c r="P530" s="697">
        <f>+P213</f>
        <v>0</v>
      </c>
      <c r="T530" s="462"/>
      <c r="U530" s="462"/>
      <c r="V530" s="462"/>
      <c r="W530" s="462"/>
      <c r="X530" s="462"/>
      <c r="Y530" s="462"/>
      <c r="Z530" s="286"/>
      <c r="AA530" s="462"/>
      <c r="AB530" s="462"/>
      <c r="AC530" s="462"/>
      <c r="AD530" s="462"/>
      <c r="AE530" s="462"/>
      <c r="AF530" s="462"/>
      <c r="AG530" s="462"/>
      <c r="AM530" s="462"/>
      <c r="AN530" s="332"/>
      <c r="AO530" s="462"/>
      <c r="AP530" s="462"/>
      <c r="AQ530" s="462"/>
      <c r="AR530" s="462"/>
      <c r="AS530" s="462"/>
      <c r="AT530" s="462"/>
      <c r="AU530" s="462"/>
      <c r="AV530" s="462"/>
      <c r="AW530" s="462"/>
      <c r="AX530" s="462"/>
      <c r="AY530" s="462"/>
    </row>
    <row r="531" spans="2:51" s="456" customFormat="1" ht="14.25">
      <c r="B531" s="541" t="s">
        <v>617</v>
      </c>
      <c r="C531" s="547"/>
      <c r="D531" s="156"/>
      <c r="E531" s="156"/>
      <c r="F531" s="156"/>
      <c r="G531" s="156"/>
      <c r="H531" s="11"/>
      <c r="I531" s="11"/>
      <c r="J531" s="11"/>
      <c r="K531" s="53"/>
      <c r="L531" s="53"/>
      <c r="M531" s="53"/>
      <c r="N531" s="53"/>
      <c r="O531" s="753">
        <f>+O470</f>
        <v>14004053.539999992</v>
      </c>
      <c r="P531" s="690">
        <f>+P470</f>
        <v>12181435.899999999</v>
      </c>
      <c r="T531" s="462"/>
      <c r="U531" s="462"/>
      <c r="V531" s="462"/>
      <c r="W531" s="462"/>
      <c r="X531" s="462"/>
      <c r="Y531" s="462"/>
      <c r="Z531" s="286"/>
      <c r="AA531" s="462"/>
      <c r="AB531" s="462"/>
      <c r="AC531" s="462"/>
      <c r="AD531" s="462"/>
      <c r="AE531" s="462"/>
      <c r="AF531" s="462"/>
      <c r="AG531" s="462"/>
      <c r="AM531" s="462"/>
      <c r="AN531" s="332"/>
      <c r="AO531" s="477">
        <f>+P527+P532</f>
        <v>82296160.04999998</v>
      </c>
      <c r="AP531" s="462"/>
      <c r="AQ531" s="462"/>
      <c r="AR531" s="462"/>
      <c r="AS531" s="462"/>
      <c r="AT531" s="462"/>
      <c r="AU531" s="462"/>
      <c r="AV531" s="462"/>
      <c r="AW531" s="462"/>
      <c r="AX531" s="462"/>
      <c r="AY531" s="462"/>
    </row>
    <row r="532" spans="2:51" s="456" customFormat="1" ht="14.25">
      <c r="B532" s="541" t="s">
        <v>1020</v>
      </c>
      <c r="C532" s="547"/>
      <c r="D532" s="156"/>
      <c r="E532" s="156"/>
      <c r="F532" s="156"/>
      <c r="G532" s="156"/>
      <c r="H532" s="11"/>
      <c r="I532" s="11"/>
      <c r="J532" s="11"/>
      <c r="K532" s="53"/>
      <c r="L532" s="53"/>
      <c r="M532" s="53"/>
      <c r="N532" s="53"/>
      <c r="O532" s="753">
        <f>+O492</f>
        <v>64663859.15999998</v>
      </c>
      <c r="P532" s="690">
        <f>+P492</f>
        <v>70560695.27999999</v>
      </c>
      <c r="T532" s="462"/>
      <c r="U532" s="462"/>
      <c r="V532" s="462"/>
      <c r="W532" s="462"/>
      <c r="X532" s="462"/>
      <c r="Y532" s="462"/>
      <c r="Z532" s="286"/>
      <c r="AA532" s="462"/>
      <c r="AB532" s="462"/>
      <c r="AC532" s="462"/>
      <c r="AD532" s="462"/>
      <c r="AE532" s="462"/>
      <c r="AF532" s="462"/>
      <c r="AG532" s="462"/>
      <c r="AM532" s="462"/>
      <c r="AN532" s="332"/>
      <c r="AO532" s="462"/>
      <c r="AP532" s="462"/>
      <c r="AQ532" s="462"/>
      <c r="AR532" s="462"/>
      <c r="AS532" s="462"/>
      <c r="AT532" s="462"/>
      <c r="AU532" s="462"/>
      <c r="AV532" s="462"/>
      <c r="AW532" s="462"/>
      <c r="AX532" s="462"/>
      <c r="AY532" s="462"/>
    </row>
    <row r="533" spans="2:51" s="456" customFormat="1" ht="14.25">
      <c r="B533" s="541" t="s">
        <v>1021</v>
      </c>
      <c r="C533" s="547"/>
      <c r="D533" s="156"/>
      <c r="E533" s="156"/>
      <c r="F533" s="156"/>
      <c r="G533" s="156"/>
      <c r="H533" s="11"/>
      <c r="I533" s="11"/>
      <c r="J533" s="11"/>
      <c r="K533" s="53"/>
      <c r="L533" s="53"/>
      <c r="M533" s="53"/>
      <c r="N533" s="53"/>
      <c r="O533" s="754">
        <f>+O520</f>
        <v>5806738.849999998</v>
      </c>
      <c r="P533" s="691">
        <f>+P520</f>
        <v>8194865.199999999</v>
      </c>
      <c r="T533" s="462"/>
      <c r="U533" s="462"/>
      <c r="V533" s="462"/>
      <c r="W533" s="462"/>
      <c r="X533" s="462"/>
      <c r="Y533" s="462"/>
      <c r="Z533" s="286"/>
      <c r="AA533" s="462"/>
      <c r="AB533" s="462"/>
      <c r="AC533" s="462"/>
      <c r="AD533" s="462"/>
      <c r="AE533" s="462"/>
      <c r="AF533" s="462"/>
      <c r="AG533" s="462"/>
      <c r="AM533" s="462"/>
      <c r="AN533" s="332"/>
      <c r="AO533" s="462"/>
      <c r="AP533" s="462"/>
      <c r="AQ533" s="462"/>
      <c r="AR533" s="462"/>
      <c r="AS533" s="462"/>
      <c r="AT533" s="462"/>
      <c r="AU533" s="462"/>
      <c r="AV533" s="462"/>
      <c r="AW533" s="462"/>
      <c r="AX533" s="462"/>
      <c r="AY533" s="462"/>
    </row>
    <row r="534" spans="2:51" s="456" customFormat="1" ht="15" thickBot="1">
      <c r="B534" s="542" t="s">
        <v>1022</v>
      </c>
      <c r="C534" s="543"/>
      <c r="D534" s="548"/>
      <c r="E534" s="548"/>
      <c r="F534" s="156"/>
      <c r="G534" s="156"/>
      <c r="H534" s="11"/>
      <c r="I534" s="11"/>
      <c r="J534" s="11"/>
      <c r="K534" s="53"/>
      <c r="L534" s="53"/>
      <c r="M534" s="53"/>
      <c r="N534" s="548"/>
      <c r="O534" s="692">
        <f>SUM(O526:O533)</f>
        <v>131120069.19999996</v>
      </c>
      <c r="P534" s="693">
        <f>SUM(P526:P533)</f>
        <v>139111576.99999997</v>
      </c>
      <c r="T534" s="462"/>
      <c r="U534" s="462"/>
      <c r="V534" s="462"/>
      <c r="W534" s="462"/>
      <c r="X534" s="462"/>
      <c r="Y534" s="462"/>
      <c r="Z534" s="286"/>
      <c r="AA534" s="462"/>
      <c r="AB534" s="462"/>
      <c r="AC534" s="462"/>
      <c r="AD534" s="462"/>
      <c r="AE534" s="462"/>
      <c r="AF534" s="462"/>
      <c r="AG534" s="462"/>
      <c r="AM534" s="462"/>
      <c r="AN534" s="332"/>
      <c r="AO534" s="462"/>
      <c r="AP534" s="462"/>
      <c r="AQ534" s="462"/>
      <c r="AR534" s="462"/>
      <c r="AS534" s="462"/>
      <c r="AT534" s="462"/>
      <c r="AU534" s="462"/>
      <c r="AV534" s="462"/>
      <c r="AW534" s="462"/>
      <c r="AX534" s="462"/>
      <c r="AY534" s="462"/>
    </row>
    <row r="535" spans="2:51" s="456" customFormat="1" ht="15.75" thickBot="1">
      <c r="B535" s="544"/>
      <c r="C535" s="543"/>
      <c r="D535" s="548"/>
      <c r="E535" s="548"/>
      <c r="F535" s="548"/>
      <c r="G535" s="548"/>
      <c r="H535" s="549"/>
      <c r="I535" s="549"/>
      <c r="J535" s="549"/>
      <c r="K535" s="55"/>
      <c r="L535" s="55"/>
      <c r="M535" s="55"/>
      <c r="N535" s="55"/>
      <c r="O535" s="694">
        <f>+O534-O533</f>
        <v>125313330.34999996</v>
      </c>
      <c r="P535" s="695">
        <f>+P534-P533</f>
        <v>130916711.79999997</v>
      </c>
      <c r="T535" s="462"/>
      <c r="U535" s="462"/>
      <c r="V535" s="462"/>
      <c r="W535" s="462"/>
      <c r="X535" s="462"/>
      <c r="Y535" s="462"/>
      <c r="Z535" s="286"/>
      <c r="AA535" s="462"/>
      <c r="AB535" s="462"/>
      <c r="AC535" s="462"/>
      <c r="AD535" s="462"/>
      <c r="AE535" s="462"/>
      <c r="AF535" s="462"/>
      <c r="AG535" s="462"/>
      <c r="AM535" s="462"/>
      <c r="AN535" s="332"/>
      <c r="AO535" s="739">
        <f>+O535-'Célula No.14 AF DIGECOG'!H14</f>
        <v>-0.15000003576278687</v>
      </c>
      <c r="AP535" s="462"/>
      <c r="AQ535" s="462"/>
      <c r="AR535" s="462"/>
      <c r="AS535" s="462"/>
      <c r="AT535" s="462"/>
      <c r="AU535" s="462"/>
      <c r="AV535" s="462"/>
      <c r="AW535" s="462"/>
      <c r="AX535" s="462"/>
      <c r="AY535" s="462"/>
    </row>
    <row r="536" spans="2:51" s="456" customFormat="1" ht="14.25">
      <c r="B536" s="12"/>
      <c r="C536" s="12"/>
      <c r="D536" s="12"/>
      <c r="E536" s="12"/>
      <c r="F536" s="12"/>
      <c r="G536" s="12"/>
      <c r="H536" s="6"/>
      <c r="I536" s="6"/>
      <c r="J536" s="6"/>
      <c r="T536" s="462"/>
      <c r="U536" s="462"/>
      <c r="V536" s="462"/>
      <c r="W536" s="462"/>
      <c r="X536" s="462"/>
      <c r="Y536" s="462"/>
      <c r="Z536" s="286"/>
      <c r="AA536" s="462"/>
      <c r="AB536" s="462"/>
      <c r="AC536" s="462"/>
      <c r="AD536" s="462"/>
      <c r="AE536" s="462"/>
      <c r="AF536" s="462"/>
      <c r="AG536" s="462"/>
      <c r="AM536" s="462"/>
      <c r="AN536" s="332"/>
      <c r="AO536" s="462"/>
      <c r="AP536" s="462"/>
      <c r="AQ536" s="462"/>
      <c r="AR536" s="462"/>
      <c r="AS536" s="462"/>
      <c r="AT536" s="462"/>
      <c r="AU536" s="462"/>
      <c r="AV536" s="462"/>
      <c r="AW536" s="462"/>
      <c r="AX536" s="462"/>
      <c r="AY536" s="462"/>
    </row>
    <row r="537" spans="2:51" s="456" customFormat="1" ht="14.25">
      <c r="B537" s="12"/>
      <c r="C537" s="12"/>
      <c r="D537" s="12"/>
      <c r="E537" s="12"/>
      <c r="F537" s="12"/>
      <c r="G537" s="12"/>
      <c r="H537" s="6"/>
      <c r="I537" s="6"/>
      <c r="J537" s="6"/>
      <c r="T537" s="462"/>
      <c r="U537" s="462"/>
      <c r="V537" s="462"/>
      <c r="W537" s="462"/>
      <c r="X537" s="462"/>
      <c r="Y537" s="462"/>
      <c r="Z537" s="286"/>
      <c r="AA537" s="462"/>
      <c r="AB537" s="462"/>
      <c r="AC537" s="462"/>
      <c r="AD537" s="462"/>
      <c r="AE537" s="462"/>
      <c r="AF537" s="462"/>
      <c r="AG537" s="462"/>
      <c r="AM537" s="462"/>
      <c r="AN537" s="332"/>
      <c r="AO537" s="462"/>
      <c r="AP537" s="462"/>
      <c r="AQ537" s="462"/>
      <c r="AR537" s="462"/>
      <c r="AS537" s="462"/>
      <c r="AT537" s="462"/>
      <c r="AU537" s="462"/>
      <c r="AV537" s="462"/>
      <c r="AW537" s="462"/>
      <c r="AX537" s="462"/>
      <c r="AY537" s="462"/>
    </row>
    <row r="538" spans="2:51" s="456" customFormat="1" ht="14.25">
      <c r="B538" s="12"/>
      <c r="C538" s="12"/>
      <c r="D538" s="12"/>
      <c r="E538" s="12"/>
      <c r="F538" s="12"/>
      <c r="G538" s="12"/>
      <c r="H538" s="6"/>
      <c r="I538" s="6"/>
      <c r="J538" s="6"/>
      <c r="T538" s="462"/>
      <c r="U538" s="462"/>
      <c r="V538" s="462"/>
      <c r="W538" s="462"/>
      <c r="X538" s="462"/>
      <c r="Y538" s="462"/>
      <c r="Z538" s="286"/>
      <c r="AA538" s="462"/>
      <c r="AB538" s="462"/>
      <c r="AC538" s="462"/>
      <c r="AD538" s="462"/>
      <c r="AE538" s="462"/>
      <c r="AF538" s="462"/>
      <c r="AG538" s="462"/>
      <c r="AM538" s="462"/>
      <c r="AN538" s="332"/>
      <c r="AO538" s="462"/>
      <c r="AP538" s="462"/>
      <c r="AQ538" s="462"/>
      <c r="AR538" s="462"/>
      <c r="AS538" s="462"/>
      <c r="AT538" s="462"/>
      <c r="AU538" s="462"/>
      <c r="AV538" s="462"/>
      <c r="AW538" s="462"/>
      <c r="AX538" s="462"/>
      <c r="AY538" s="462"/>
    </row>
    <row r="539" spans="2:16" ht="18">
      <c r="B539" s="534" t="s">
        <v>584</v>
      </c>
      <c r="C539" s="455"/>
      <c r="D539" s="455"/>
      <c r="E539" s="455"/>
      <c r="F539" s="455"/>
      <c r="G539" s="57">
        <v>2023</v>
      </c>
      <c r="H539" s="57">
        <v>2022</v>
      </c>
      <c r="I539" s="456"/>
      <c r="J539" s="456"/>
      <c r="K539" s="456"/>
      <c r="L539" s="456"/>
      <c r="M539" s="456"/>
      <c r="N539" s="456"/>
      <c r="O539" s="32">
        <v>2023</v>
      </c>
      <c r="P539" s="32">
        <v>2022</v>
      </c>
    </row>
    <row r="540" spans="2:51" s="456" customFormat="1" ht="15">
      <c r="B540" s="60" t="s">
        <v>1024</v>
      </c>
      <c r="C540" s="60"/>
      <c r="D540" s="60"/>
      <c r="E540" s="60"/>
      <c r="F540" s="60"/>
      <c r="G540" s="60"/>
      <c r="H540" s="61"/>
      <c r="I540" s="61"/>
      <c r="J540" s="61"/>
      <c r="K540" s="461"/>
      <c r="L540" s="461"/>
      <c r="M540" s="461"/>
      <c r="N540" s="461"/>
      <c r="O540" s="658">
        <f>720.71+1796.56+5461.22</f>
        <v>7978.49</v>
      </c>
      <c r="P540" s="658">
        <f>3884.28+5071.06+11456.59</f>
        <v>20411.93</v>
      </c>
      <c r="Q540" s="461"/>
      <c r="R540" s="461"/>
      <c r="S540" s="459"/>
      <c r="T540" s="115"/>
      <c r="U540" s="115"/>
      <c r="V540" s="114"/>
      <c r="W540" s="114"/>
      <c r="X540" s="115"/>
      <c r="Y540" s="115"/>
      <c r="Z540" s="114"/>
      <c r="AA540" s="462"/>
      <c r="AB540" s="462"/>
      <c r="AC540" s="462"/>
      <c r="AD540" s="462"/>
      <c r="AE540" s="462"/>
      <c r="AF540" s="462"/>
      <c r="AG540" s="462"/>
      <c r="AM540" s="462"/>
      <c r="AN540" s="332"/>
      <c r="AO540" s="462"/>
      <c r="AP540" s="462"/>
      <c r="AQ540" s="462"/>
      <c r="AR540" s="462"/>
      <c r="AS540" s="462"/>
      <c r="AT540" s="462"/>
      <c r="AU540" s="462"/>
      <c r="AV540" s="462"/>
      <c r="AW540" s="462"/>
      <c r="AX540" s="462"/>
      <c r="AY540" s="462"/>
    </row>
    <row r="541" spans="2:16" ht="18" thickBot="1">
      <c r="B541" s="109" t="s">
        <v>1214</v>
      </c>
      <c r="O541" s="688">
        <f>SUM(O540)</f>
        <v>7978.49</v>
      </c>
      <c r="P541" s="688">
        <f>SUM(P540)</f>
        <v>20411.93</v>
      </c>
    </row>
    <row r="542" ht="15" thickTop="1"/>
    <row r="543" spans="2:51" s="456" customFormat="1" ht="15">
      <c r="B543" s="172"/>
      <c r="C543" s="12"/>
      <c r="D543" s="12"/>
      <c r="E543" s="12"/>
      <c r="F543" s="12"/>
      <c r="G543" s="12"/>
      <c r="H543" s="12"/>
      <c r="I543" s="12"/>
      <c r="J543" s="12"/>
      <c r="T543" s="462"/>
      <c r="U543" s="462"/>
      <c r="V543" s="462"/>
      <c r="W543" s="462"/>
      <c r="X543" s="462"/>
      <c r="Y543" s="462"/>
      <c r="Z543" s="286"/>
      <c r="AA543" s="462"/>
      <c r="AB543" s="462"/>
      <c r="AC543" s="462"/>
      <c r="AD543" s="462"/>
      <c r="AE543" s="462"/>
      <c r="AF543" s="462"/>
      <c r="AG543" s="462"/>
      <c r="AM543" s="462"/>
      <c r="AN543" s="332"/>
      <c r="AO543" s="462"/>
      <c r="AP543" s="462"/>
      <c r="AQ543" s="462"/>
      <c r="AR543" s="462"/>
      <c r="AS543" s="462"/>
      <c r="AT543" s="462"/>
      <c r="AU543" s="462"/>
      <c r="AV543" s="462"/>
      <c r="AW543" s="462"/>
      <c r="AX543" s="462"/>
      <c r="AY543" s="462"/>
    </row>
    <row r="544" spans="2:51" s="456" customFormat="1" ht="15">
      <c r="B544" s="172"/>
      <c r="C544" s="12"/>
      <c r="D544" s="12"/>
      <c r="E544" s="12"/>
      <c r="F544" s="12"/>
      <c r="G544" s="12"/>
      <c r="H544" s="12"/>
      <c r="I544" s="12"/>
      <c r="J544" s="12"/>
      <c r="T544" s="462"/>
      <c r="U544" s="462"/>
      <c r="V544" s="462"/>
      <c r="W544" s="462"/>
      <c r="X544" s="462"/>
      <c r="Y544" s="462"/>
      <c r="Z544" s="286"/>
      <c r="AA544" s="462"/>
      <c r="AB544" s="462"/>
      <c r="AC544" s="462"/>
      <c r="AD544" s="462"/>
      <c r="AE544" s="462"/>
      <c r="AF544" s="462"/>
      <c r="AG544" s="462"/>
      <c r="AM544" s="462"/>
      <c r="AN544" s="332"/>
      <c r="AO544" s="462"/>
      <c r="AP544" s="462"/>
      <c r="AQ544" s="462"/>
      <c r="AR544" s="462"/>
      <c r="AS544" s="462"/>
      <c r="AT544" s="462"/>
      <c r="AU544" s="462"/>
      <c r="AV544" s="462"/>
      <c r="AW544" s="462"/>
      <c r="AX544" s="462"/>
      <c r="AY544" s="462"/>
    </row>
    <row r="545" spans="2:51" s="456" customFormat="1" ht="15">
      <c r="B545" s="172"/>
      <c r="C545" s="12"/>
      <c r="D545" s="12"/>
      <c r="E545" s="12"/>
      <c r="F545" s="12"/>
      <c r="G545" s="12"/>
      <c r="H545" s="12"/>
      <c r="I545" s="12"/>
      <c r="J545" s="12"/>
      <c r="T545" s="462"/>
      <c r="U545" s="462"/>
      <c r="V545" s="462"/>
      <c r="W545" s="462"/>
      <c r="X545" s="462"/>
      <c r="Y545" s="462"/>
      <c r="Z545" s="286"/>
      <c r="AA545" s="462"/>
      <c r="AB545" s="462"/>
      <c r="AC545" s="462"/>
      <c r="AD545" s="462"/>
      <c r="AE545" s="462"/>
      <c r="AF545" s="462"/>
      <c r="AG545" s="462"/>
      <c r="AM545" s="462"/>
      <c r="AN545" s="332"/>
      <c r="AO545" s="462"/>
      <c r="AP545" s="462"/>
      <c r="AQ545" s="462"/>
      <c r="AR545" s="462"/>
      <c r="AS545" s="462"/>
      <c r="AT545" s="462"/>
      <c r="AU545" s="462"/>
      <c r="AV545" s="462"/>
      <c r="AW545" s="462"/>
      <c r="AX545" s="462"/>
      <c r="AY545" s="462"/>
    </row>
    <row r="546" spans="2:51" s="168" customFormat="1" ht="14.25">
      <c r="B546" s="12"/>
      <c r="C546" s="12"/>
      <c r="D546" s="12"/>
      <c r="E546" s="12"/>
      <c r="F546" s="12"/>
      <c r="G546" s="12"/>
      <c r="H546" s="12"/>
      <c r="I546" s="12"/>
      <c r="J546" s="12"/>
      <c r="O546" s="456"/>
      <c r="T546" s="125"/>
      <c r="U546" s="125"/>
      <c r="V546" s="125"/>
      <c r="W546" s="125"/>
      <c r="X546" s="125"/>
      <c r="Y546" s="125"/>
      <c r="Z546" s="286"/>
      <c r="AA546" s="125"/>
      <c r="AB546" s="125"/>
      <c r="AC546" s="125"/>
      <c r="AD546" s="125"/>
      <c r="AE546" s="125"/>
      <c r="AF546" s="125"/>
      <c r="AG546" s="125"/>
      <c r="AM546" s="125"/>
      <c r="AN546" s="332"/>
      <c r="AO546" s="462"/>
      <c r="AP546" s="462"/>
      <c r="AQ546" s="462"/>
      <c r="AR546" s="462"/>
      <c r="AS546" s="462"/>
      <c r="AT546" s="462"/>
      <c r="AU546" s="462"/>
      <c r="AV546" s="462"/>
      <c r="AW546" s="462"/>
      <c r="AX546" s="462"/>
      <c r="AY546" s="462"/>
    </row>
    <row r="547" spans="2:26" ht="18">
      <c r="B547" s="109" t="s">
        <v>1215</v>
      </c>
      <c r="C547" s="131"/>
      <c r="D547" s="131"/>
      <c r="E547" s="131"/>
      <c r="F547" s="12"/>
      <c r="G547" s="12"/>
      <c r="H547" s="12"/>
      <c r="I547" s="12"/>
      <c r="J547" s="12"/>
      <c r="P547" s="456"/>
      <c r="Q547" s="530" t="s">
        <v>642</v>
      </c>
      <c r="R547" s="217"/>
      <c r="S547" s="217"/>
      <c r="V547" s="295">
        <v>2018</v>
      </c>
      <c r="W547" s="295">
        <v>2017</v>
      </c>
      <c r="X547" s="300"/>
      <c r="Y547" s="300"/>
      <c r="Z547" s="295">
        <v>2016</v>
      </c>
    </row>
    <row r="548" spans="2:26" ht="21">
      <c r="B548" s="182" t="s">
        <v>494</v>
      </c>
      <c r="C548" s="131"/>
      <c r="D548" s="131"/>
      <c r="E548" s="131"/>
      <c r="F548" s="12"/>
      <c r="G548" s="12"/>
      <c r="H548" s="12"/>
      <c r="I548" s="12"/>
      <c r="J548" s="12"/>
      <c r="O548" s="32">
        <v>2023</v>
      </c>
      <c r="P548" s="32">
        <v>2022</v>
      </c>
      <c r="Q548" s="110">
        <v>2021</v>
      </c>
      <c r="R548" s="110">
        <v>2020</v>
      </c>
      <c r="S548" s="110">
        <v>2019</v>
      </c>
      <c r="Z548" s="286"/>
    </row>
    <row r="549" spans="2:26" ht="15">
      <c r="B549" s="60" t="s">
        <v>164</v>
      </c>
      <c r="C549" s="12"/>
      <c r="D549" s="12"/>
      <c r="E549" s="12"/>
      <c r="F549" s="12"/>
      <c r="G549" s="12"/>
      <c r="H549" s="12"/>
      <c r="I549" s="12"/>
      <c r="J549" s="12"/>
      <c r="W549" s="286"/>
      <c r="Z549" s="286"/>
    </row>
    <row r="550" spans="2:26" ht="14.25">
      <c r="B550" s="12"/>
      <c r="C550" s="12"/>
      <c r="D550" s="12"/>
      <c r="E550" s="12"/>
      <c r="F550" s="12"/>
      <c r="G550" s="12"/>
      <c r="H550" s="12"/>
      <c r="I550" s="12"/>
      <c r="J550" s="12"/>
      <c r="W550" s="286"/>
      <c r="Z550" s="286"/>
    </row>
    <row r="551" spans="2:26" ht="14.25" hidden="1">
      <c r="B551" s="12" t="s">
        <v>165</v>
      </c>
      <c r="C551" s="12"/>
      <c r="D551" s="12"/>
      <c r="E551" s="12"/>
      <c r="F551" s="12"/>
      <c r="G551" s="12"/>
      <c r="H551" s="6"/>
      <c r="I551" s="6"/>
      <c r="J551" s="6"/>
      <c r="W551" s="286"/>
      <c r="Z551" s="286"/>
    </row>
    <row r="552" spans="2:26" ht="14.25" hidden="1">
      <c r="B552" s="12" t="s">
        <v>166</v>
      </c>
      <c r="C552" s="12"/>
      <c r="D552" s="12"/>
      <c r="E552" s="12"/>
      <c r="F552" s="12"/>
      <c r="G552" s="12"/>
      <c r="H552" s="6"/>
      <c r="I552" s="6"/>
      <c r="J552" s="6"/>
      <c r="W552" s="286"/>
      <c r="Z552" s="286"/>
    </row>
    <row r="553" spans="2:26" ht="14.25" hidden="1">
      <c r="B553" s="12" t="s">
        <v>167</v>
      </c>
      <c r="C553" s="12"/>
      <c r="D553" s="12"/>
      <c r="E553" s="12"/>
      <c r="F553" s="12"/>
      <c r="G553" s="12"/>
      <c r="H553" s="6"/>
      <c r="I553" s="6"/>
      <c r="J553" s="6"/>
      <c r="W553" s="286"/>
      <c r="Z553" s="286"/>
    </row>
    <row r="554" spans="2:26" ht="15">
      <c r="B554" s="60" t="s">
        <v>542</v>
      </c>
      <c r="C554" s="60"/>
      <c r="D554" s="60"/>
      <c r="E554" s="60"/>
      <c r="F554" s="72"/>
      <c r="G554" s="60"/>
      <c r="H554" s="64">
        <v>14664080.14</v>
      </c>
      <c r="I554" s="61"/>
      <c r="J554" s="61"/>
      <c r="K554" s="112"/>
      <c r="L554" s="112"/>
      <c r="M554" s="112"/>
      <c r="N554" s="112"/>
      <c r="O554" s="658">
        <f>8402578.73-4783665.83</f>
        <v>3618912.9000000004</v>
      </c>
      <c r="P554" s="658">
        <f>5004007.68+18600-2011897.77+57380-7294.9</f>
        <v>3060795.01</v>
      </c>
      <c r="Q554" s="199">
        <f>8111355.89-5431836.47</f>
        <v>2679519.42</v>
      </c>
      <c r="R554" s="199">
        <v>1510755.51</v>
      </c>
      <c r="S554" s="75">
        <v>4363148.71</v>
      </c>
      <c r="T554" s="115"/>
      <c r="U554" s="115"/>
      <c r="V554" s="114">
        <f>13170406.76+813857.11-8027430.91</f>
        <v>5956832.959999999</v>
      </c>
      <c r="W554" s="114">
        <v>2508515.95</v>
      </c>
      <c r="X554" s="115"/>
      <c r="Y554" s="115"/>
      <c r="Z554" s="114">
        <f>13357011.35+856702.74</f>
        <v>14213714.09</v>
      </c>
    </row>
    <row r="555" spans="2:26" ht="15">
      <c r="B555" s="60" t="s">
        <v>540</v>
      </c>
      <c r="C555" s="60"/>
      <c r="D555" s="60"/>
      <c r="E555" s="60"/>
      <c r="F555" s="72"/>
      <c r="G555" s="60"/>
      <c r="H555" s="62"/>
      <c r="I555" s="61"/>
      <c r="J555" s="61"/>
      <c r="K555" s="112"/>
      <c r="L555" s="112"/>
      <c r="M555" s="112"/>
      <c r="N555" s="112"/>
      <c r="O555" s="658">
        <v>4783665.83</v>
      </c>
      <c r="P555" s="658">
        <v>2011897.77</v>
      </c>
      <c r="Q555" s="199">
        <f>8111355.89-2679519.42</f>
        <v>5431836.47</v>
      </c>
      <c r="R555" s="199">
        <v>3050084.21</v>
      </c>
      <c r="S555" s="75">
        <f>13825204.05-4363148.71</f>
        <v>9462055.34</v>
      </c>
      <c r="T555" s="115"/>
      <c r="U555" s="115"/>
      <c r="V555" s="114">
        <v>8027430.91</v>
      </c>
      <c r="W555" s="114">
        <f>9924946.63+827104.35</f>
        <v>10752050.98</v>
      </c>
      <c r="X555" s="115"/>
      <c r="Y555" s="115"/>
      <c r="Z555" s="114"/>
    </row>
    <row r="556" spans="2:26" ht="15" thickBot="1">
      <c r="B556" s="12"/>
      <c r="C556" s="12"/>
      <c r="D556" s="12"/>
      <c r="E556" s="12"/>
      <c r="F556" s="25"/>
      <c r="G556" s="12"/>
      <c r="H556" s="11"/>
      <c r="I556" s="6"/>
      <c r="J556" s="6"/>
      <c r="O556" s="664"/>
      <c r="P556" s="664"/>
      <c r="S556" s="55"/>
      <c r="V556" s="315"/>
      <c r="W556" s="286"/>
      <c r="Z556" s="286"/>
    </row>
    <row r="557" spans="2:26" ht="18" thickBot="1">
      <c r="B557" s="109" t="s">
        <v>1216</v>
      </c>
      <c r="C557" s="131"/>
      <c r="D557" s="131"/>
      <c r="E557" s="131"/>
      <c r="F557" s="109"/>
      <c r="G557" s="131"/>
      <c r="H557" s="44">
        <f>SUM(H554)</f>
        <v>14664080.14</v>
      </c>
      <c r="I557" s="6"/>
      <c r="J557" s="6"/>
      <c r="O557" s="688">
        <f>SUM(O554:O556)</f>
        <v>8402578.73</v>
      </c>
      <c r="P557" s="688">
        <f>SUM(P554:P556)</f>
        <v>5072692.779999999</v>
      </c>
      <c r="Q557" s="206">
        <f>SUM(Q554:Q556)</f>
        <v>8111355.89</v>
      </c>
      <c r="R557" s="206">
        <f>SUM(R554:R556)</f>
        <v>4560839.72</v>
      </c>
      <c r="S557" s="206">
        <f>SUM(S554:S556)</f>
        <v>13825204.05</v>
      </c>
      <c r="V557" s="321">
        <f>SUM(V554:V556)</f>
        <v>13984263.87</v>
      </c>
      <c r="W557" s="321">
        <f>SUM(W554:W556)</f>
        <v>13260566.93</v>
      </c>
      <c r="Z557" s="321">
        <f>SUM(Z554)</f>
        <v>14213714.09</v>
      </c>
    </row>
    <row r="558" spans="2:41" ht="15.75" thickTop="1">
      <c r="B558" s="72"/>
      <c r="C558" s="12"/>
      <c r="D558" s="12"/>
      <c r="E558" s="12"/>
      <c r="F558" s="25"/>
      <c r="G558" s="12"/>
      <c r="H558" s="6"/>
      <c r="I558" s="6"/>
      <c r="J558" s="6"/>
      <c r="O558" s="664"/>
      <c r="P558" s="664"/>
      <c r="Z558" s="286"/>
      <c r="AO558" s="646"/>
    </row>
    <row r="559" spans="2:26" ht="15">
      <c r="B559" s="60"/>
      <c r="C559" s="12"/>
      <c r="D559" s="12"/>
      <c r="E559" s="12"/>
      <c r="F559" s="25"/>
      <c r="G559" s="12"/>
      <c r="H559" s="6"/>
      <c r="I559" s="6"/>
      <c r="J559" s="6"/>
      <c r="O559" s="664"/>
      <c r="P559" s="663">
        <f>O557+O730</f>
        <v>8608794.9</v>
      </c>
      <c r="Z559" s="286"/>
    </row>
    <row r="560" spans="2:26" ht="15" hidden="1">
      <c r="B560" s="72" t="s">
        <v>173</v>
      </c>
      <c r="C560" s="12"/>
      <c r="D560" s="12"/>
      <c r="E560" s="12"/>
      <c r="F560" s="12"/>
      <c r="G560" s="12"/>
      <c r="H560" s="12"/>
      <c r="I560" s="12"/>
      <c r="J560" s="12"/>
      <c r="Z560" s="286"/>
    </row>
    <row r="561" spans="2:26" ht="15" hidden="1">
      <c r="B561" s="72" t="s">
        <v>174</v>
      </c>
      <c r="C561" s="12"/>
      <c r="D561" s="12"/>
      <c r="E561" s="12"/>
      <c r="F561" s="12"/>
      <c r="G561" s="12"/>
      <c r="H561" s="12"/>
      <c r="I561" s="12"/>
      <c r="J561" s="12"/>
      <c r="Z561" s="286"/>
    </row>
    <row r="562" spans="2:26" ht="14.25" hidden="1">
      <c r="B562" s="12" t="s">
        <v>175</v>
      </c>
      <c r="C562" s="12"/>
      <c r="D562" s="12"/>
      <c r="E562" s="12"/>
      <c r="F562" s="12"/>
      <c r="G562" s="12"/>
      <c r="H562" s="12"/>
      <c r="I562" s="12"/>
      <c r="J562" s="12"/>
      <c r="Z562" s="286"/>
    </row>
    <row r="563" spans="2:26" ht="14.25" hidden="1">
      <c r="B563" s="12"/>
      <c r="C563" s="12"/>
      <c r="D563" s="12"/>
      <c r="E563" s="12"/>
      <c r="F563" s="12"/>
      <c r="G563" s="12"/>
      <c r="H563" s="12"/>
      <c r="I563" s="12"/>
      <c r="J563" s="12"/>
      <c r="Z563" s="286"/>
    </row>
    <row r="564" spans="2:26" ht="14.25" hidden="1">
      <c r="B564" s="12" t="s">
        <v>176</v>
      </c>
      <c r="C564" s="12"/>
      <c r="D564" s="12"/>
      <c r="E564" s="12"/>
      <c r="F564" s="12" t="s">
        <v>96</v>
      </c>
      <c r="G564" s="12"/>
      <c r="H564" s="6">
        <f>-1716449.17+6731957.88</f>
        <v>5015508.71</v>
      </c>
      <c r="I564" s="6"/>
      <c r="J564" s="6"/>
      <c r="Z564" s="286"/>
    </row>
    <row r="565" spans="2:26" ht="14.25" hidden="1">
      <c r="B565" s="12" t="s">
        <v>177</v>
      </c>
      <c r="C565" s="12"/>
      <c r="D565" s="12"/>
      <c r="E565" s="12"/>
      <c r="F565" s="12" t="s">
        <v>108</v>
      </c>
      <c r="G565" s="12"/>
      <c r="H565" s="6">
        <f>2763439.02-29367.57</f>
        <v>2734071.45</v>
      </c>
      <c r="I565" s="6"/>
      <c r="J565" s="6"/>
      <c r="Z565" s="286"/>
    </row>
    <row r="566" spans="2:26" ht="14.25" hidden="1">
      <c r="B566" s="12" t="s">
        <v>178</v>
      </c>
      <c r="C566" s="12"/>
      <c r="D566" s="12"/>
      <c r="E566" s="12"/>
      <c r="F566" s="12" t="s">
        <v>108</v>
      </c>
      <c r="G566" s="12"/>
      <c r="H566" s="6">
        <f>2052506.87-346216.31+159676.89-316477.65</f>
        <v>1549489.8000000003</v>
      </c>
      <c r="I566" s="6"/>
      <c r="J566" s="6"/>
      <c r="Z566" s="286"/>
    </row>
    <row r="567" spans="2:26" ht="14.25" hidden="1">
      <c r="B567" s="12" t="s">
        <v>179</v>
      </c>
      <c r="C567" s="12"/>
      <c r="D567" s="12"/>
      <c r="E567" s="12"/>
      <c r="F567" s="12"/>
      <c r="G567" s="12"/>
      <c r="H567" s="6">
        <v>-14579.15</v>
      </c>
      <c r="I567" s="6"/>
      <c r="J567" s="6"/>
      <c r="Z567" s="286"/>
    </row>
    <row r="568" spans="2:26" ht="14.25" hidden="1">
      <c r="B568" s="12" t="s">
        <v>180</v>
      </c>
      <c r="C568" s="12"/>
      <c r="D568" s="12"/>
      <c r="E568" s="12"/>
      <c r="F568" s="12"/>
      <c r="G568" s="12"/>
      <c r="H568" s="6"/>
      <c r="I568" s="6"/>
      <c r="J568" s="6"/>
      <c r="Z568" s="286"/>
    </row>
    <row r="569" spans="2:26" ht="14.25" hidden="1">
      <c r="B569" s="12" t="s">
        <v>181</v>
      </c>
      <c r="C569" s="12"/>
      <c r="D569" s="12"/>
      <c r="E569" s="12"/>
      <c r="F569" s="12"/>
      <c r="G569" s="12"/>
      <c r="H569" s="6">
        <f>-178986.16+230125.22</f>
        <v>51139.06</v>
      </c>
      <c r="I569" s="6"/>
      <c r="J569" s="6"/>
      <c r="Z569" s="286"/>
    </row>
    <row r="570" spans="2:26" ht="14.25" hidden="1">
      <c r="B570" s="12" t="s">
        <v>182</v>
      </c>
      <c r="C570" s="12"/>
      <c r="D570" s="12"/>
      <c r="E570" s="12"/>
      <c r="F570" s="12"/>
      <c r="G570" s="12"/>
      <c r="H570" s="6"/>
      <c r="I570" s="6"/>
      <c r="J570" s="6"/>
      <c r="Z570" s="286"/>
    </row>
    <row r="571" spans="2:26" ht="14.25" hidden="1">
      <c r="B571" s="12" t="s">
        <v>181</v>
      </c>
      <c r="C571" s="12"/>
      <c r="D571" s="12"/>
      <c r="E571" s="12"/>
      <c r="F571" s="12"/>
      <c r="G571" s="12"/>
      <c r="H571" s="6"/>
      <c r="I571" s="6"/>
      <c r="J571" s="6"/>
      <c r="Z571" s="286"/>
    </row>
    <row r="572" spans="2:26" ht="14.25" hidden="1">
      <c r="B572" s="12" t="s">
        <v>183</v>
      </c>
      <c r="C572" s="12"/>
      <c r="D572" s="12"/>
      <c r="E572" s="12"/>
      <c r="F572" s="12" t="s">
        <v>184</v>
      </c>
      <c r="G572" s="12"/>
      <c r="H572" s="6">
        <v>1477581.31</v>
      </c>
      <c r="I572" s="6"/>
      <c r="J572" s="6"/>
      <c r="Z572" s="286"/>
    </row>
    <row r="573" spans="2:26" ht="14.25" hidden="1">
      <c r="B573" s="12" t="s">
        <v>185</v>
      </c>
      <c r="C573" s="12"/>
      <c r="D573" s="12"/>
      <c r="E573" s="12"/>
      <c r="F573" s="12"/>
      <c r="G573" s="12"/>
      <c r="H573" s="6">
        <v>37729.34</v>
      </c>
      <c r="I573" s="6"/>
      <c r="J573" s="6"/>
      <c r="Z573" s="286"/>
    </row>
    <row r="574" spans="2:26" ht="14.25" hidden="1">
      <c r="B574" s="12" t="s">
        <v>186</v>
      </c>
      <c r="C574" s="12"/>
      <c r="D574" s="12"/>
      <c r="E574" s="12"/>
      <c r="F574" s="12"/>
      <c r="G574" s="12"/>
      <c r="H574" s="6">
        <v>0</v>
      </c>
      <c r="I574" s="6"/>
      <c r="J574" s="6"/>
      <c r="Z574" s="286"/>
    </row>
    <row r="575" spans="2:26" ht="14.25" hidden="1">
      <c r="B575" s="12" t="s">
        <v>187</v>
      </c>
      <c r="C575" s="12"/>
      <c r="D575" s="12"/>
      <c r="E575" s="12"/>
      <c r="F575" s="12"/>
      <c r="G575" s="12"/>
      <c r="H575" s="6">
        <v>0</v>
      </c>
      <c r="I575" s="6"/>
      <c r="J575" s="6"/>
      <c r="Z575" s="286"/>
    </row>
    <row r="576" spans="2:26" ht="14.25" hidden="1">
      <c r="B576" s="12" t="s">
        <v>188</v>
      </c>
      <c r="C576" s="12"/>
      <c r="D576" s="12"/>
      <c r="E576" s="12"/>
      <c r="F576" s="12"/>
      <c r="G576" s="12"/>
      <c r="H576" s="6">
        <v>1468960.35</v>
      </c>
      <c r="I576" s="6"/>
      <c r="J576" s="6"/>
      <c r="Z576" s="286"/>
    </row>
    <row r="577" spans="2:26" ht="14.25" hidden="1">
      <c r="B577" s="12" t="s">
        <v>189</v>
      </c>
      <c r="C577" s="12"/>
      <c r="D577" s="12"/>
      <c r="E577" s="12"/>
      <c r="F577" s="12"/>
      <c r="G577" s="12"/>
      <c r="H577" s="6">
        <v>0</v>
      </c>
      <c r="I577" s="6"/>
      <c r="J577" s="6"/>
      <c r="Z577" s="286"/>
    </row>
    <row r="578" spans="2:26" ht="14.25" hidden="1">
      <c r="B578" s="12" t="s">
        <v>190</v>
      </c>
      <c r="C578" s="12"/>
      <c r="D578" s="12"/>
      <c r="E578" s="12"/>
      <c r="F578" s="12"/>
      <c r="G578" s="12"/>
      <c r="H578" s="6"/>
      <c r="I578" s="6"/>
      <c r="J578" s="6"/>
      <c r="Z578" s="286"/>
    </row>
    <row r="579" spans="2:26" ht="14.25" hidden="1">
      <c r="B579" s="12" t="s">
        <v>180</v>
      </c>
      <c r="C579" s="12"/>
      <c r="D579" s="12"/>
      <c r="E579" s="12"/>
      <c r="F579" s="12"/>
      <c r="G579" s="12"/>
      <c r="H579" s="6"/>
      <c r="I579" s="6"/>
      <c r="J579" s="6"/>
      <c r="Z579" s="286"/>
    </row>
    <row r="580" spans="2:26" ht="14.25" hidden="1">
      <c r="B580" s="12" t="s">
        <v>191</v>
      </c>
      <c r="C580" s="12"/>
      <c r="D580" s="12"/>
      <c r="E580" s="12"/>
      <c r="F580" s="12"/>
      <c r="G580" s="12"/>
      <c r="H580" s="6">
        <v>0</v>
      </c>
      <c r="I580" s="6"/>
      <c r="J580" s="6"/>
      <c r="Z580" s="286"/>
    </row>
    <row r="581" spans="2:26" ht="14.25" hidden="1">
      <c r="B581" s="12" t="s">
        <v>192</v>
      </c>
      <c r="C581" s="12"/>
      <c r="D581" s="12"/>
      <c r="E581" s="12"/>
      <c r="F581" s="12"/>
      <c r="G581" s="12"/>
      <c r="H581" s="6">
        <v>12284.94</v>
      </c>
      <c r="I581" s="6"/>
      <c r="J581" s="6"/>
      <c r="Z581" s="286"/>
    </row>
    <row r="582" spans="2:26" ht="15.75" hidden="1" thickBot="1">
      <c r="B582" s="72" t="s">
        <v>146</v>
      </c>
      <c r="C582" s="12"/>
      <c r="D582" s="12"/>
      <c r="E582" s="12"/>
      <c r="F582" s="12"/>
      <c r="G582" s="12"/>
      <c r="H582" s="18">
        <f>SUM(H564:H581)</f>
        <v>12332185.81</v>
      </c>
      <c r="I582" s="136"/>
      <c r="J582" s="136"/>
      <c r="Z582" s="286"/>
    </row>
    <row r="583" spans="8:26" ht="14.25" hidden="1">
      <c r="H583" s="158"/>
      <c r="I583" s="158"/>
      <c r="J583" s="158"/>
      <c r="Z583" s="286"/>
    </row>
    <row r="584" spans="2:26" ht="14.25" hidden="1">
      <c r="B584" s="12" t="s">
        <v>193</v>
      </c>
      <c r="H584" s="158"/>
      <c r="I584" s="158"/>
      <c r="J584" s="158"/>
      <c r="Z584" s="286"/>
    </row>
    <row r="585" spans="2:26" ht="14.25" hidden="1">
      <c r="B585" s="12" t="s">
        <v>194</v>
      </c>
      <c r="H585" s="158"/>
      <c r="I585" s="158"/>
      <c r="J585" s="158"/>
      <c r="Z585" s="286"/>
    </row>
    <row r="586" spans="2:26" ht="14.25" hidden="1">
      <c r="B586" s="12" t="s">
        <v>195</v>
      </c>
      <c r="C586" s="12"/>
      <c r="D586" s="12"/>
      <c r="E586" s="12"/>
      <c r="F586" s="12"/>
      <c r="G586" s="12"/>
      <c r="H586" s="10"/>
      <c r="I586" s="10"/>
      <c r="J586" s="10"/>
      <c r="Z586" s="286"/>
    </row>
    <row r="587" spans="2:26" ht="14.25" hidden="1">
      <c r="B587" s="12" t="s">
        <v>196</v>
      </c>
      <c r="C587" s="12"/>
      <c r="D587" s="12"/>
      <c r="E587" s="12"/>
      <c r="F587" s="12"/>
      <c r="G587" s="12"/>
      <c r="H587" s="10"/>
      <c r="I587" s="10"/>
      <c r="J587" s="6"/>
      <c r="Z587" s="286"/>
    </row>
    <row r="588" spans="8:26" ht="14.25" hidden="1">
      <c r="H588" s="159"/>
      <c r="I588" s="159"/>
      <c r="J588" s="159"/>
      <c r="Z588" s="286"/>
    </row>
    <row r="589" ht="14.25" hidden="1">
      <c r="Z589" s="286"/>
    </row>
    <row r="590" ht="14.25" hidden="1">
      <c r="Z590" s="286"/>
    </row>
    <row r="591" spans="2:26" ht="24.75" hidden="1">
      <c r="B591" s="107" t="s">
        <v>80</v>
      </c>
      <c r="C591" s="107"/>
      <c r="D591" s="107"/>
      <c r="E591" s="107"/>
      <c r="F591" s="107"/>
      <c r="G591" s="107"/>
      <c r="H591" s="107"/>
      <c r="I591" s="107"/>
      <c r="J591" s="107"/>
      <c r="K591" s="108"/>
      <c r="L591" s="108"/>
      <c r="Z591" s="286"/>
    </row>
    <row r="592" spans="2:26" ht="26.25" customHeight="1" hidden="1">
      <c r="B592" s="12"/>
      <c r="C592" s="107" t="s">
        <v>81</v>
      </c>
      <c r="D592" s="107"/>
      <c r="E592" s="107"/>
      <c r="F592" s="107"/>
      <c r="G592" s="107"/>
      <c r="H592" s="107"/>
      <c r="I592" s="107"/>
      <c r="J592" s="107"/>
      <c r="K592" s="108"/>
      <c r="L592" s="108"/>
      <c r="Z592" s="286"/>
    </row>
    <row r="593" spans="2:26" ht="24.75" hidden="1">
      <c r="B593" s="12"/>
      <c r="C593" s="107" t="s">
        <v>82</v>
      </c>
      <c r="D593" s="107" t="s">
        <v>83</v>
      </c>
      <c r="E593" s="107"/>
      <c r="F593" s="107"/>
      <c r="G593" s="107"/>
      <c r="H593" s="107"/>
      <c r="I593" s="107"/>
      <c r="J593" s="107"/>
      <c r="K593" s="108"/>
      <c r="L593" s="108"/>
      <c r="Z593" s="286"/>
    </row>
    <row r="594" spans="2:26" ht="24.75" hidden="1">
      <c r="B594" s="12"/>
      <c r="C594" s="107" t="s">
        <v>148</v>
      </c>
      <c r="D594" s="107"/>
      <c r="E594" s="107"/>
      <c r="F594" s="107"/>
      <c r="G594" s="107"/>
      <c r="H594" s="107"/>
      <c r="I594" s="107"/>
      <c r="J594" s="107"/>
      <c r="K594" s="108"/>
      <c r="L594" s="108"/>
      <c r="Z594" s="286"/>
    </row>
    <row r="595" spans="5:26" ht="22.5" customHeight="1" hidden="1">
      <c r="E595" s="107" t="s">
        <v>84</v>
      </c>
      <c r="Z595" s="286"/>
    </row>
    <row r="596" spans="5:26" ht="22.5" customHeight="1" hidden="1">
      <c r="E596" s="107"/>
      <c r="Z596" s="286"/>
    </row>
    <row r="597" spans="2:26" ht="22.5" customHeight="1" hidden="1">
      <c r="B597" s="160" t="s">
        <v>197</v>
      </c>
      <c r="E597" s="107"/>
      <c r="Z597" s="286"/>
    </row>
    <row r="598" spans="2:26" ht="13.5" customHeight="1" hidden="1">
      <c r="B598" s="12" t="s">
        <v>198</v>
      </c>
      <c r="E598" s="107"/>
      <c r="Z598" s="286"/>
    </row>
    <row r="599" spans="2:26" ht="13.5" customHeight="1" hidden="1">
      <c r="B599" s="12" t="s">
        <v>199</v>
      </c>
      <c r="E599" s="107"/>
      <c r="Z599" s="286"/>
    </row>
    <row r="600" spans="2:26" ht="13.5" customHeight="1" hidden="1">
      <c r="B600" s="12" t="s">
        <v>200</v>
      </c>
      <c r="E600" s="107"/>
      <c r="Z600" s="286"/>
    </row>
    <row r="601" spans="2:26" ht="13.5" customHeight="1" hidden="1">
      <c r="B601" s="12" t="s">
        <v>201</v>
      </c>
      <c r="E601" s="107"/>
      <c r="Z601" s="286"/>
    </row>
    <row r="602" spans="2:26" ht="13.5" customHeight="1" hidden="1">
      <c r="B602" s="12" t="s">
        <v>202</v>
      </c>
      <c r="Z602" s="286"/>
    </row>
    <row r="603" spans="1:26" ht="13.5" customHeight="1" hidden="1">
      <c r="A603" s="97"/>
      <c r="B603" s="12" t="s">
        <v>203</v>
      </c>
      <c r="C603" s="12"/>
      <c r="D603" s="12"/>
      <c r="E603" s="12"/>
      <c r="F603" s="12"/>
      <c r="G603" s="12"/>
      <c r="H603" s="12"/>
      <c r="I603" s="12"/>
      <c r="J603" s="12"/>
      <c r="Z603" s="286"/>
    </row>
    <row r="604" spans="1:26" ht="13.5" customHeight="1" hidden="1">
      <c r="A604" s="97"/>
      <c r="B604" s="12" t="s">
        <v>204</v>
      </c>
      <c r="C604" s="12"/>
      <c r="D604" s="12"/>
      <c r="E604" s="12"/>
      <c r="F604" s="12"/>
      <c r="G604" s="12"/>
      <c r="H604" s="12"/>
      <c r="I604" s="12"/>
      <c r="J604" s="12"/>
      <c r="Z604" s="286"/>
    </row>
    <row r="605" spans="1:26" ht="13.5" customHeight="1" hidden="1">
      <c r="A605" s="97"/>
      <c r="B605" s="12" t="s">
        <v>205</v>
      </c>
      <c r="C605" s="12"/>
      <c r="D605" s="12"/>
      <c r="E605" s="12"/>
      <c r="F605" s="12"/>
      <c r="G605" s="12"/>
      <c r="H605" s="12"/>
      <c r="I605" s="12"/>
      <c r="J605" s="12"/>
      <c r="Z605" s="286"/>
    </row>
    <row r="606" spans="1:26" ht="13.5" customHeight="1" hidden="1">
      <c r="A606" s="97"/>
      <c r="B606" s="12" t="s">
        <v>206</v>
      </c>
      <c r="C606" s="12"/>
      <c r="D606" s="12"/>
      <c r="E606" s="12"/>
      <c r="F606" s="12"/>
      <c r="G606" s="12"/>
      <c r="H606" s="12"/>
      <c r="I606" s="12"/>
      <c r="J606" s="12"/>
      <c r="Z606" s="286"/>
    </row>
    <row r="607" spans="1:26" ht="13.5" customHeight="1" hidden="1">
      <c r="A607" s="97"/>
      <c r="B607" s="161"/>
      <c r="C607" s="12"/>
      <c r="D607" s="12"/>
      <c r="E607" s="12"/>
      <c r="F607" s="12"/>
      <c r="G607" s="12"/>
      <c r="H607" s="12"/>
      <c r="I607" s="12"/>
      <c r="J607" s="12"/>
      <c r="Z607" s="286"/>
    </row>
    <row r="608" spans="1:26" ht="13.5" customHeight="1" hidden="1">
      <c r="A608" s="97"/>
      <c r="B608" s="161"/>
      <c r="C608" s="12"/>
      <c r="D608" s="12"/>
      <c r="E608" s="12"/>
      <c r="F608" s="12"/>
      <c r="G608" s="12"/>
      <c r="H608" s="12"/>
      <c r="I608" s="12"/>
      <c r="J608" s="12"/>
      <c r="Z608" s="286"/>
    </row>
    <row r="609" spans="1:26" ht="13.5" customHeight="1" hidden="1">
      <c r="A609" s="97"/>
      <c r="B609" s="161"/>
      <c r="C609" s="12"/>
      <c r="D609" s="12"/>
      <c r="E609" s="12"/>
      <c r="F609" s="12"/>
      <c r="G609" s="12"/>
      <c r="H609" s="12"/>
      <c r="I609" s="12"/>
      <c r="J609" s="12"/>
      <c r="Z609" s="286"/>
    </row>
    <row r="610" spans="2:26" ht="16.5" customHeight="1" hidden="1">
      <c r="B610" s="160" t="s">
        <v>207</v>
      </c>
      <c r="C610" s="12"/>
      <c r="D610" s="12"/>
      <c r="E610" s="12"/>
      <c r="F610" s="12"/>
      <c r="G610" s="12"/>
      <c r="H610" s="12"/>
      <c r="I610" s="12"/>
      <c r="J610" s="12"/>
      <c r="Z610" s="286"/>
    </row>
    <row r="611" spans="2:26" ht="15" hidden="1">
      <c r="B611" s="72" t="s">
        <v>208</v>
      </c>
      <c r="C611" s="12"/>
      <c r="D611" s="12"/>
      <c r="E611" s="12"/>
      <c r="F611" s="12"/>
      <c r="G611" s="12"/>
      <c r="H611" s="12"/>
      <c r="I611" s="12"/>
      <c r="J611" s="12"/>
      <c r="Z611" s="286"/>
    </row>
    <row r="612" spans="2:26" ht="14.25" hidden="1">
      <c r="B612" s="12" t="s">
        <v>209</v>
      </c>
      <c r="C612" s="12"/>
      <c r="D612" s="12"/>
      <c r="E612" s="12"/>
      <c r="F612" s="12"/>
      <c r="G612" s="12"/>
      <c r="H612" s="12"/>
      <c r="I612" s="12"/>
      <c r="J612" s="12"/>
      <c r="Z612" s="286"/>
    </row>
    <row r="613" spans="2:26" ht="14.25" hidden="1">
      <c r="B613" s="12" t="s">
        <v>210</v>
      </c>
      <c r="C613" s="12"/>
      <c r="D613" s="12"/>
      <c r="E613" s="12"/>
      <c r="F613" s="12"/>
      <c r="G613" s="12"/>
      <c r="H613" s="12"/>
      <c r="I613" s="12"/>
      <c r="J613" s="12"/>
      <c r="Z613" s="286"/>
    </row>
    <row r="614" spans="2:26" ht="14.25" hidden="1">
      <c r="B614" s="12" t="s">
        <v>211</v>
      </c>
      <c r="C614" s="12"/>
      <c r="D614" s="12"/>
      <c r="E614" s="12"/>
      <c r="F614" s="12"/>
      <c r="G614" s="12"/>
      <c r="H614" s="12"/>
      <c r="I614" s="12"/>
      <c r="J614" s="12"/>
      <c r="Z614" s="286"/>
    </row>
    <row r="615" spans="2:26" ht="14.25" hidden="1">
      <c r="B615" s="12"/>
      <c r="C615" s="12"/>
      <c r="D615" s="12"/>
      <c r="E615" s="12"/>
      <c r="F615" s="12"/>
      <c r="G615" s="12"/>
      <c r="H615" s="12"/>
      <c r="I615" s="12"/>
      <c r="J615" s="12"/>
      <c r="Z615" s="286"/>
    </row>
    <row r="616" spans="2:26" ht="14.25" hidden="1">
      <c r="B616" s="12" t="s">
        <v>212</v>
      </c>
      <c r="C616" s="12"/>
      <c r="D616" s="12"/>
      <c r="E616" s="12"/>
      <c r="F616" s="12"/>
      <c r="G616" s="12"/>
      <c r="H616" s="16">
        <v>-717521</v>
      </c>
      <c r="I616" s="12"/>
      <c r="J616" s="12"/>
      <c r="Z616" s="286"/>
    </row>
    <row r="617" spans="2:26" ht="14.25" hidden="1">
      <c r="B617" s="12" t="s">
        <v>213</v>
      </c>
      <c r="C617" s="12"/>
      <c r="D617" s="12"/>
      <c r="E617" s="12"/>
      <c r="F617" s="12"/>
      <c r="G617" s="12"/>
      <c r="H617" s="162">
        <v>-18486776</v>
      </c>
      <c r="I617" s="12"/>
      <c r="J617" s="12"/>
      <c r="Z617" s="286"/>
    </row>
    <row r="618" spans="2:26" ht="17.25" customHeight="1" hidden="1">
      <c r="B618" s="12" t="s">
        <v>214</v>
      </c>
      <c r="C618" s="12"/>
      <c r="D618" s="12"/>
      <c r="E618" s="12"/>
      <c r="F618" s="12"/>
      <c r="G618" s="12"/>
      <c r="H618" s="163">
        <v>26952298</v>
      </c>
      <c r="I618" s="163"/>
      <c r="J618" s="163"/>
      <c r="Z618" s="286"/>
    </row>
    <row r="619" spans="2:26" ht="14.25" hidden="1">
      <c r="B619" s="12" t="s">
        <v>215</v>
      </c>
      <c r="C619" s="12"/>
      <c r="D619" s="12"/>
      <c r="E619" s="12"/>
      <c r="F619" s="12"/>
      <c r="G619" s="12"/>
      <c r="H619" s="164">
        <v>25001422</v>
      </c>
      <c r="I619" s="164"/>
      <c r="J619" s="164"/>
      <c r="Z619" s="286"/>
    </row>
    <row r="620" spans="2:26" ht="14.25" hidden="1">
      <c r="B620" s="12" t="s">
        <v>216</v>
      </c>
      <c r="C620" s="12"/>
      <c r="D620" s="12"/>
      <c r="E620" s="12"/>
      <c r="F620" s="12"/>
      <c r="G620" s="12"/>
      <c r="H620" s="165">
        <v>24599237</v>
      </c>
      <c r="I620" s="165"/>
      <c r="J620" s="165"/>
      <c r="Z620" s="286"/>
    </row>
    <row r="621" spans="2:26" ht="14.25" hidden="1">
      <c r="B621" s="12" t="s">
        <v>217</v>
      </c>
      <c r="C621" s="12"/>
      <c r="D621" s="12"/>
      <c r="E621" s="12"/>
      <c r="F621" s="12"/>
      <c r="G621" s="12"/>
      <c r="H621" s="165">
        <v>-2266914</v>
      </c>
      <c r="I621" s="165"/>
      <c r="J621" s="165"/>
      <c r="Z621" s="286"/>
    </row>
    <row r="622" spans="2:26" ht="14.25" hidden="1">
      <c r="B622" s="12" t="s">
        <v>218</v>
      </c>
      <c r="C622" s="12"/>
      <c r="D622" s="12"/>
      <c r="E622" s="12"/>
      <c r="F622" s="12"/>
      <c r="G622" s="12"/>
      <c r="H622" s="165">
        <v>-28089207</v>
      </c>
      <c r="I622" s="165"/>
      <c r="J622" s="165"/>
      <c r="Z622" s="286"/>
    </row>
    <row r="623" spans="2:26" ht="14.25" hidden="1">
      <c r="B623" s="12" t="s">
        <v>219</v>
      </c>
      <c r="C623" s="12"/>
      <c r="D623" s="12"/>
      <c r="E623" s="12"/>
      <c r="F623" s="12"/>
      <c r="G623" s="12"/>
      <c r="H623" s="165">
        <v>-67004676</v>
      </c>
      <c r="I623" s="166"/>
      <c r="J623" s="166"/>
      <c r="Z623" s="286"/>
    </row>
    <row r="624" spans="2:26" ht="15" hidden="1" thickBot="1">
      <c r="B624" s="12"/>
      <c r="C624" s="12"/>
      <c r="D624" s="12"/>
      <c r="E624" s="12"/>
      <c r="F624" s="12"/>
      <c r="G624" s="12"/>
      <c r="H624" s="7">
        <f>SUM(H616:H623)</f>
        <v>-40012137</v>
      </c>
      <c r="I624" s="19"/>
      <c r="J624" s="19"/>
      <c r="K624" s="7"/>
      <c r="Z624" s="286"/>
    </row>
    <row r="625" ht="14.25" hidden="1">
      <c r="Z625" s="286"/>
    </row>
    <row r="626" ht="14.25" hidden="1">
      <c r="Z626" s="286"/>
    </row>
    <row r="627" spans="2:26" ht="15" hidden="1">
      <c r="B627" s="72" t="s">
        <v>208</v>
      </c>
      <c r="Z627" s="286"/>
    </row>
    <row r="628" spans="2:26" ht="14.25" hidden="1">
      <c r="B628" s="12" t="s">
        <v>220</v>
      </c>
      <c r="Z628" s="286"/>
    </row>
    <row r="629" ht="14.25" hidden="1">
      <c r="Z629" s="286"/>
    </row>
    <row r="630" spans="2:26" ht="14.25" hidden="1">
      <c r="B630" s="20" t="s">
        <v>221</v>
      </c>
      <c r="C630" s="12"/>
      <c r="D630" s="12"/>
      <c r="E630" s="21" t="s">
        <v>222</v>
      </c>
      <c r="F630" s="21"/>
      <c r="G630" s="21" t="s">
        <v>222</v>
      </c>
      <c r="H630" s="21" t="s">
        <v>223</v>
      </c>
      <c r="I630" s="21"/>
      <c r="J630" s="21"/>
      <c r="Z630" s="286"/>
    </row>
    <row r="631" spans="2:26" ht="14.25" hidden="1">
      <c r="B631" s="12"/>
      <c r="C631" s="12"/>
      <c r="D631" s="12"/>
      <c r="E631" s="22" t="s">
        <v>224</v>
      </c>
      <c r="F631" s="22"/>
      <c r="G631" s="22" t="s">
        <v>225</v>
      </c>
      <c r="H631" s="22" t="s">
        <v>226</v>
      </c>
      <c r="I631" s="22"/>
      <c r="J631" s="22"/>
      <c r="Z631" s="286"/>
    </row>
    <row r="632" spans="2:26" ht="14.25" hidden="1">
      <c r="B632" s="12" t="s">
        <v>227</v>
      </c>
      <c r="C632" s="12"/>
      <c r="D632" s="12"/>
      <c r="E632" s="23">
        <v>781326</v>
      </c>
      <c r="F632" s="24"/>
      <c r="G632" s="23">
        <v>1140663</v>
      </c>
      <c r="H632" s="24">
        <f>+E632-G632</f>
        <v>-359337</v>
      </c>
      <c r="I632" s="24"/>
      <c r="J632" s="24"/>
      <c r="Z632" s="286"/>
    </row>
    <row r="633" spans="2:26" ht="14.25" hidden="1">
      <c r="B633" s="12" t="s">
        <v>228</v>
      </c>
      <c r="C633" s="12"/>
      <c r="D633" s="12"/>
      <c r="E633" s="23">
        <v>918262</v>
      </c>
      <c r="F633" s="24"/>
      <c r="G633" s="23">
        <v>859131</v>
      </c>
      <c r="H633" s="24">
        <f aca="true" t="shared" si="0" ref="H633:H643">+E633-G633</f>
        <v>59131</v>
      </c>
      <c r="I633" s="24"/>
      <c r="J633" s="24"/>
      <c r="Z633" s="286"/>
    </row>
    <row r="634" spans="2:26" ht="14.25" hidden="1">
      <c r="B634" s="12" t="s">
        <v>229</v>
      </c>
      <c r="C634" s="12"/>
      <c r="D634" s="12"/>
      <c r="E634" s="23">
        <v>1123034</v>
      </c>
      <c r="F634" s="24"/>
      <c r="G634" s="23">
        <v>1021517</v>
      </c>
      <c r="H634" s="24">
        <f t="shared" si="0"/>
        <v>101517</v>
      </c>
      <c r="I634" s="24"/>
      <c r="J634" s="24"/>
      <c r="Z634" s="286"/>
    </row>
    <row r="635" spans="2:26" ht="14.25" hidden="1">
      <c r="B635" s="12" t="s">
        <v>230</v>
      </c>
      <c r="C635" s="12"/>
      <c r="D635" s="12"/>
      <c r="E635" s="23">
        <v>885306</v>
      </c>
      <c r="F635" s="24"/>
      <c r="G635" s="23">
        <v>442653</v>
      </c>
      <c r="H635" s="24">
        <f t="shared" si="0"/>
        <v>442653</v>
      </c>
      <c r="I635" s="24"/>
      <c r="J635" s="24"/>
      <c r="Z635" s="286"/>
    </row>
    <row r="636" spans="2:26" ht="14.25" hidden="1">
      <c r="B636" s="12" t="s">
        <v>231</v>
      </c>
      <c r="C636" s="12"/>
      <c r="D636" s="12"/>
      <c r="E636" s="23">
        <v>979398</v>
      </c>
      <c r="F636" s="24"/>
      <c r="G636" s="23">
        <v>1493852</v>
      </c>
      <c r="H636" s="24">
        <f t="shared" si="0"/>
        <v>-514454</v>
      </c>
      <c r="I636" s="24"/>
      <c r="J636" s="24"/>
      <c r="Z636" s="286"/>
    </row>
    <row r="637" spans="2:26" ht="14.25" hidden="1">
      <c r="B637" s="12" t="s">
        <v>232</v>
      </c>
      <c r="C637" s="12"/>
      <c r="D637" s="12"/>
      <c r="E637" s="23">
        <v>998408</v>
      </c>
      <c r="F637" s="24"/>
      <c r="G637" s="23">
        <v>992604</v>
      </c>
      <c r="H637" s="24">
        <f t="shared" si="0"/>
        <v>5804</v>
      </c>
      <c r="I637" s="24"/>
      <c r="J637" s="24"/>
      <c r="Z637" s="286"/>
    </row>
    <row r="638" spans="2:26" ht="14.25" hidden="1">
      <c r="B638" s="12" t="s">
        <v>233</v>
      </c>
      <c r="C638" s="12"/>
      <c r="D638" s="12"/>
      <c r="E638" s="23">
        <v>985396</v>
      </c>
      <c r="F638" s="24"/>
      <c r="G638" s="23">
        <v>992698</v>
      </c>
      <c r="H638" s="24">
        <f t="shared" si="0"/>
        <v>-7302</v>
      </c>
      <c r="I638" s="24"/>
      <c r="J638" s="24"/>
      <c r="Z638" s="286"/>
    </row>
    <row r="639" spans="2:26" ht="14.25" hidden="1">
      <c r="B639" s="12" t="s">
        <v>234</v>
      </c>
      <c r="C639" s="12"/>
      <c r="D639" s="12"/>
      <c r="E639" s="23">
        <v>1005228</v>
      </c>
      <c r="F639" s="24"/>
      <c r="G639" s="23">
        <v>1002614</v>
      </c>
      <c r="H639" s="24">
        <f t="shared" si="0"/>
        <v>2614</v>
      </c>
      <c r="I639" s="24"/>
      <c r="J639" s="24"/>
      <c r="Z639" s="286"/>
    </row>
    <row r="640" spans="2:26" ht="14.25" hidden="1">
      <c r="B640" s="12" t="s">
        <v>235</v>
      </c>
      <c r="C640" s="12"/>
      <c r="D640" s="12"/>
      <c r="E640" s="23">
        <v>1068248</v>
      </c>
      <c r="F640" s="24"/>
      <c r="G640" s="23">
        <v>1036738</v>
      </c>
      <c r="H640" s="24">
        <f t="shared" si="0"/>
        <v>31510</v>
      </c>
      <c r="I640" s="24"/>
      <c r="J640" s="24"/>
      <c r="Z640" s="286"/>
    </row>
    <row r="641" spans="2:26" ht="14.25" hidden="1">
      <c r="B641" s="12" t="s">
        <v>236</v>
      </c>
      <c r="C641" s="12"/>
      <c r="D641" s="12"/>
      <c r="E641" s="23">
        <v>993330</v>
      </c>
      <c r="F641" s="24"/>
      <c r="G641" s="23">
        <v>1030798</v>
      </c>
      <c r="H641" s="24">
        <f t="shared" si="0"/>
        <v>-37468</v>
      </c>
      <c r="I641" s="24"/>
      <c r="J641" s="24"/>
      <c r="Z641" s="286"/>
    </row>
    <row r="642" spans="2:26" ht="14.25" hidden="1">
      <c r="B642" s="12" t="s">
        <v>237</v>
      </c>
      <c r="C642" s="12"/>
      <c r="D642" s="12"/>
      <c r="E642" s="23">
        <v>1036456</v>
      </c>
      <c r="F642" s="24"/>
      <c r="G642" s="23">
        <v>1014893</v>
      </c>
      <c r="H642" s="24">
        <f t="shared" si="0"/>
        <v>21563</v>
      </c>
      <c r="I642" s="24"/>
      <c r="J642" s="24"/>
      <c r="Z642" s="286"/>
    </row>
    <row r="643" spans="2:26" ht="14.25" hidden="1">
      <c r="B643" s="12" t="s">
        <v>238</v>
      </c>
      <c r="C643" s="12"/>
      <c r="D643" s="12"/>
      <c r="E643" s="23">
        <v>908952</v>
      </c>
      <c r="F643" s="24"/>
      <c r="G643" s="23">
        <v>1372704</v>
      </c>
      <c r="H643" s="24">
        <f t="shared" si="0"/>
        <v>-463752</v>
      </c>
      <c r="I643" s="24"/>
      <c r="J643" s="24"/>
      <c r="Z643" s="286"/>
    </row>
    <row r="644" spans="2:26" ht="15" hidden="1" thickBot="1">
      <c r="B644" s="25" t="s">
        <v>146</v>
      </c>
      <c r="C644" s="12"/>
      <c r="D644" s="12"/>
      <c r="E644" s="26">
        <f>SUM(E632:E643)</f>
        <v>11683344</v>
      </c>
      <c r="F644" s="24"/>
      <c r="G644" s="26">
        <f>SUM(G632:G643)</f>
        <v>12400865</v>
      </c>
      <c r="H644" s="27">
        <f>SUM(H632:H643)</f>
        <v>-717521</v>
      </c>
      <c r="I644" s="28"/>
      <c r="J644" s="28"/>
      <c r="Z644" s="286"/>
    </row>
    <row r="645" spans="5:26" ht="14.25" hidden="1">
      <c r="E645" s="159"/>
      <c r="F645" s="159"/>
      <c r="G645" s="159"/>
      <c r="H645" s="159"/>
      <c r="I645" s="159"/>
      <c r="J645" s="159"/>
      <c r="Z645" s="286"/>
    </row>
    <row r="646" spans="5:26" ht="14.25" hidden="1">
      <c r="E646" s="159"/>
      <c r="F646" s="159"/>
      <c r="G646" s="159"/>
      <c r="H646" s="159"/>
      <c r="I646" s="159"/>
      <c r="J646" s="159"/>
      <c r="Z646" s="286"/>
    </row>
    <row r="647" spans="5:26" ht="14.25" hidden="1">
      <c r="E647" s="159"/>
      <c r="F647" s="159"/>
      <c r="G647" s="159"/>
      <c r="H647" s="159"/>
      <c r="I647" s="159"/>
      <c r="J647" s="159"/>
      <c r="Z647" s="286"/>
    </row>
    <row r="648" ht="14.25" hidden="1">
      <c r="Z648" s="286"/>
    </row>
    <row r="649" ht="14.25" hidden="1">
      <c r="Z649" s="286"/>
    </row>
    <row r="650" ht="14.25" hidden="1">
      <c r="Z650" s="286"/>
    </row>
    <row r="651" ht="14.25" hidden="1">
      <c r="Z651" s="286"/>
    </row>
    <row r="652" ht="14.25" hidden="1">
      <c r="Z652" s="286"/>
    </row>
    <row r="653" ht="14.25" hidden="1">
      <c r="Z653" s="286"/>
    </row>
    <row r="654" ht="14.25" hidden="1">
      <c r="Z654" s="286"/>
    </row>
    <row r="655" ht="14.25" hidden="1">
      <c r="Z655" s="286"/>
    </row>
    <row r="656" ht="14.25" hidden="1">
      <c r="Z656" s="286"/>
    </row>
    <row r="657" ht="14.25" hidden="1">
      <c r="Z657" s="286"/>
    </row>
    <row r="658" ht="14.25" hidden="1">
      <c r="Z658" s="286"/>
    </row>
    <row r="659" ht="14.25" hidden="1">
      <c r="Z659" s="286"/>
    </row>
    <row r="660" ht="14.25" hidden="1">
      <c r="Z660" s="286"/>
    </row>
    <row r="661" ht="14.25" hidden="1">
      <c r="Z661" s="286"/>
    </row>
    <row r="662" ht="14.25" hidden="1">
      <c r="Z662" s="286"/>
    </row>
    <row r="663" ht="14.25" hidden="1">
      <c r="Z663" s="286"/>
    </row>
    <row r="664" ht="14.25" hidden="1">
      <c r="Z664" s="286"/>
    </row>
    <row r="665" ht="14.25" hidden="1">
      <c r="Z665" s="286"/>
    </row>
    <row r="666" ht="14.25" hidden="1">
      <c r="Z666" s="286"/>
    </row>
    <row r="667" ht="14.25" hidden="1">
      <c r="Z667" s="286"/>
    </row>
    <row r="668" ht="14.25" hidden="1">
      <c r="Z668" s="286"/>
    </row>
    <row r="669" ht="14.25" hidden="1">
      <c r="Z669" s="286"/>
    </row>
    <row r="670" ht="14.25" hidden="1">
      <c r="Z670" s="286"/>
    </row>
    <row r="671" ht="14.25" hidden="1">
      <c r="Z671" s="286"/>
    </row>
    <row r="672" ht="14.25" hidden="1">
      <c r="Z672" s="286"/>
    </row>
    <row r="673" ht="14.25" hidden="1">
      <c r="Z673" s="286"/>
    </row>
    <row r="674" ht="14.25" hidden="1">
      <c r="Z674" s="286"/>
    </row>
    <row r="675" ht="14.25">
      <c r="Z675" s="286"/>
    </row>
    <row r="676" spans="16:26" ht="14.25">
      <c r="P676" s="456"/>
      <c r="Q676" s="530" t="s">
        <v>642</v>
      </c>
      <c r="R676" s="217"/>
      <c r="S676" s="217"/>
      <c r="Z676" s="286"/>
    </row>
    <row r="677" spans="2:26" ht="18">
      <c r="B677" s="109" t="s">
        <v>197</v>
      </c>
      <c r="C677" s="131"/>
      <c r="D677" s="131"/>
      <c r="E677" s="131"/>
      <c r="F677" s="12"/>
      <c r="G677" s="12"/>
      <c r="H677" s="12"/>
      <c r="O677" s="32">
        <v>2023</v>
      </c>
      <c r="P677" s="32">
        <v>2022</v>
      </c>
      <c r="Q677" s="110">
        <v>2021</v>
      </c>
      <c r="R677" s="110">
        <v>2020</v>
      </c>
      <c r="S677" s="110">
        <v>2019</v>
      </c>
      <c r="V677" s="295">
        <v>2018</v>
      </c>
      <c r="W677" s="295">
        <v>2017</v>
      </c>
      <c r="X677" s="300"/>
      <c r="Y677" s="300"/>
      <c r="Z677" s="295">
        <v>2016</v>
      </c>
    </row>
    <row r="678" spans="2:26" ht="21">
      <c r="B678" s="182" t="s">
        <v>174</v>
      </c>
      <c r="C678" s="131"/>
      <c r="D678" s="131"/>
      <c r="E678" s="131"/>
      <c r="F678" s="12"/>
      <c r="G678" s="12"/>
      <c r="H678" s="12"/>
      <c r="Z678" s="286"/>
    </row>
    <row r="679" spans="2:26" ht="15">
      <c r="B679" s="60" t="s">
        <v>175</v>
      </c>
      <c r="C679" s="12"/>
      <c r="D679" s="12"/>
      <c r="E679" s="12"/>
      <c r="F679" s="12"/>
      <c r="G679" s="12"/>
      <c r="H679" s="12"/>
      <c r="Z679" s="286"/>
    </row>
    <row r="680" spans="2:26" ht="14.25">
      <c r="B680" s="12"/>
      <c r="C680" s="12"/>
      <c r="D680" s="12"/>
      <c r="E680" s="12"/>
      <c r="F680" s="12"/>
      <c r="G680" s="12"/>
      <c r="H680" s="12"/>
      <c r="O680" s="664"/>
      <c r="P680" s="664"/>
      <c r="Z680" s="286"/>
    </row>
    <row r="681" spans="2:26" ht="15">
      <c r="B681" s="60" t="s">
        <v>176</v>
      </c>
      <c r="C681" s="12"/>
      <c r="D681" s="12"/>
      <c r="E681" s="12"/>
      <c r="F681" s="12"/>
      <c r="G681" s="12"/>
      <c r="H681" s="30">
        <f>793245.34-0.1</f>
        <v>793245.24</v>
      </c>
      <c r="I681" s="167"/>
      <c r="J681" s="167"/>
      <c r="P681" s="658">
        <v>4007697.12</v>
      </c>
      <c r="Q681" s="199">
        <v>7549.29</v>
      </c>
      <c r="R681" s="75">
        <v>43058.41</v>
      </c>
      <c r="S681" s="75">
        <v>2335566.3</v>
      </c>
      <c r="V681" s="114">
        <v>1673757.94</v>
      </c>
      <c r="Z681" s="286"/>
    </row>
    <row r="682" spans="2:40" ht="15">
      <c r="B682" s="60" t="s">
        <v>476</v>
      </c>
      <c r="C682" s="60"/>
      <c r="D682" s="60"/>
      <c r="E682" s="60"/>
      <c r="F682" s="60"/>
      <c r="G682" s="60"/>
      <c r="H682" s="61">
        <v>598703.81</v>
      </c>
      <c r="I682" s="112"/>
      <c r="J682" s="112"/>
      <c r="K682" s="112"/>
      <c r="L682" s="112"/>
      <c r="M682" s="112"/>
      <c r="N682" s="112"/>
      <c r="O682" s="658">
        <v>661272.95</v>
      </c>
      <c r="P682" s="658">
        <f>553065.82-338.99</f>
        <v>552726.83</v>
      </c>
      <c r="Q682" s="199">
        <v>680980.48</v>
      </c>
      <c r="R682" s="75">
        <v>504278</v>
      </c>
      <c r="S682" s="75">
        <v>956395.64</v>
      </c>
      <c r="T682" s="115"/>
      <c r="U682" s="115"/>
      <c r="V682" s="114">
        <v>773909.26</v>
      </c>
      <c r="W682" s="114">
        <v>499750.62</v>
      </c>
      <c r="X682" s="115"/>
      <c r="Y682" s="115"/>
      <c r="Z682" s="114">
        <v>487148.64</v>
      </c>
      <c r="AN682" s="478">
        <f>+P557+P700+P730</f>
        <v>27547793.9</v>
      </c>
    </row>
    <row r="683" spans="2:26" ht="15" hidden="1">
      <c r="B683" s="60" t="s">
        <v>266</v>
      </c>
      <c r="C683" s="60"/>
      <c r="D683" s="60"/>
      <c r="E683" s="60"/>
      <c r="F683" s="60"/>
      <c r="G683" s="60"/>
      <c r="H683" s="61">
        <f>136369.28+4237.29</f>
        <v>140606.57</v>
      </c>
      <c r="I683" s="112"/>
      <c r="J683" s="112"/>
      <c r="K683" s="112"/>
      <c r="L683" s="112"/>
      <c r="M683" s="112"/>
      <c r="N683" s="112"/>
      <c r="O683" s="658"/>
      <c r="P683" s="649"/>
      <c r="Q683" s="128"/>
      <c r="R683" s="112"/>
      <c r="S683" s="75">
        <v>76694.14</v>
      </c>
      <c r="T683" s="115"/>
      <c r="U683" s="115"/>
      <c r="V683" s="114">
        <v>78629.06</v>
      </c>
      <c r="W683" s="114">
        <v>130607.84</v>
      </c>
      <c r="X683" s="115"/>
      <c r="Y683" s="115"/>
      <c r="Z683" s="114">
        <v>102198.08</v>
      </c>
    </row>
    <row r="684" spans="2:26" ht="15">
      <c r="B684" s="60" t="s">
        <v>264</v>
      </c>
      <c r="C684" s="60"/>
      <c r="D684" s="60"/>
      <c r="E684" s="60"/>
      <c r="F684" s="60"/>
      <c r="G684" s="60"/>
      <c r="H684" s="61"/>
      <c r="I684" s="128"/>
      <c r="J684" s="112"/>
      <c r="K684" s="112"/>
      <c r="L684" s="112"/>
      <c r="M684" s="112"/>
      <c r="N684" s="112"/>
      <c r="O684" s="658">
        <v>423.73</v>
      </c>
      <c r="P684" s="658">
        <v>423.73</v>
      </c>
      <c r="Q684" s="199">
        <v>423.73</v>
      </c>
      <c r="R684" s="75">
        <v>423.73</v>
      </c>
      <c r="S684" s="75">
        <v>423.73</v>
      </c>
      <c r="T684" s="115"/>
      <c r="U684" s="115"/>
      <c r="V684" s="114">
        <v>423.73</v>
      </c>
      <c r="W684" s="114">
        <v>423.73</v>
      </c>
      <c r="X684" s="115"/>
      <c r="Y684" s="115"/>
      <c r="Z684" s="114">
        <v>423.73</v>
      </c>
    </row>
    <row r="685" spans="2:26" ht="15" hidden="1">
      <c r="B685" s="60" t="s">
        <v>503</v>
      </c>
      <c r="C685" s="112"/>
      <c r="D685" s="112"/>
      <c r="E685" s="112"/>
      <c r="F685" s="112"/>
      <c r="G685" s="112"/>
      <c r="H685" s="112"/>
      <c r="I685" s="112"/>
      <c r="J685" s="112"/>
      <c r="K685" s="112"/>
      <c r="L685" s="112"/>
      <c r="M685" s="112"/>
      <c r="N685" s="112"/>
      <c r="O685" s="658"/>
      <c r="P685" s="658"/>
      <c r="Q685" s="199"/>
      <c r="R685" s="75"/>
      <c r="S685" s="75">
        <v>31600</v>
      </c>
      <c r="T685" s="115"/>
      <c r="U685" s="115"/>
      <c r="V685" s="114">
        <v>11110</v>
      </c>
      <c r="W685" s="114">
        <v>28250</v>
      </c>
      <c r="X685" s="115"/>
      <c r="Y685" s="115"/>
      <c r="Z685" s="114">
        <v>25400</v>
      </c>
    </row>
    <row r="686" spans="2:26" ht="15" hidden="1">
      <c r="B686" s="60" t="s">
        <v>180</v>
      </c>
      <c r="C686" s="60"/>
      <c r="D686" s="60"/>
      <c r="E686" s="60"/>
      <c r="F686" s="60"/>
      <c r="G686" s="60"/>
      <c r="H686" s="61"/>
      <c r="I686" s="112"/>
      <c r="J686" s="112"/>
      <c r="K686" s="112"/>
      <c r="L686" s="112"/>
      <c r="M686" s="112"/>
      <c r="N686" s="112"/>
      <c r="O686" s="658"/>
      <c r="P686" s="649"/>
      <c r="Q686" s="128"/>
      <c r="R686" s="112"/>
      <c r="S686" s="75"/>
      <c r="T686" s="115"/>
      <c r="U686" s="115"/>
      <c r="V686" s="114"/>
      <c r="W686" s="114"/>
      <c r="X686" s="115"/>
      <c r="Y686" s="115"/>
      <c r="Z686" s="114"/>
    </row>
    <row r="687" spans="2:26" ht="15" hidden="1">
      <c r="B687" s="60" t="s">
        <v>185</v>
      </c>
      <c r="C687" s="60"/>
      <c r="D687" s="60"/>
      <c r="E687" s="60"/>
      <c r="F687" s="60"/>
      <c r="G687" s="60"/>
      <c r="H687" s="61"/>
      <c r="I687" s="112"/>
      <c r="J687" s="112"/>
      <c r="K687" s="112"/>
      <c r="L687" s="112"/>
      <c r="M687" s="112"/>
      <c r="N687" s="112"/>
      <c r="O687" s="658"/>
      <c r="P687" s="658"/>
      <c r="Q687" s="199"/>
      <c r="R687" s="75"/>
      <c r="S687" s="75">
        <v>1429.25</v>
      </c>
      <c r="T687" s="115"/>
      <c r="U687" s="115"/>
      <c r="V687" s="114">
        <v>691.15</v>
      </c>
      <c r="W687" s="114">
        <v>172.45</v>
      </c>
      <c r="X687" s="115"/>
      <c r="Y687" s="115"/>
      <c r="Z687" s="114">
        <v>172.45</v>
      </c>
    </row>
    <row r="688" spans="2:26" ht="15" hidden="1">
      <c r="B688" s="60" t="s">
        <v>181</v>
      </c>
      <c r="C688" s="60"/>
      <c r="D688" s="60"/>
      <c r="E688" s="60"/>
      <c r="F688" s="60"/>
      <c r="G688" s="60"/>
      <c r="H688" s="76">
        <v>400</v>
      </c>
      <c r="I688" s="112"/>
      <c r="J688" s="112"/>
      <c r="K688" s="112"/>
      <c r="L688" s="112"/>
      <c r="M688" s="112"/>
      <c r="N688" s="112"/>
      <c r="O688" s="658"/>
      <c r="P688" s="658"/>
      <c r="Q688" s="199"/>
      <c r="R688" s="75">
        <v>400</v>
      </c>
      <c r="S688" s="75"/>
      <c r="T688" s="115"/>
      <c r="U688" s="115"/>
      <c r="V688" s="114">
        <v>300</v>
      </c>
      <c r="W688" s="114"/>
      <c r="X688" s="115"/>
      <c r="Y688" s="115"/>
      <c r="Z688" s="114"/>
    </row>
    <row r="689" spans="2:26" ht="15" hidden="1">
      <c r="B689" s="60" t="s">
        <v>182</v>
      </c>
      <c r="C689" s="60"/>
      <c r="D689" s="60"/>
      <c r="E689" s="60"/>
      <c r="F689" s="60"/>
      <c r="G689" s="60"/>
      <c r="H689" s="61"/>
      <c r="I689" s="112"/>
      <c r="J689" s="112"/>
      <c r="K689" s="112"/>
      <c r="L689" s="112"/>
      <c r="M689" s="112"/>
      <c r="N689" s="112"/>
      <c r="O689" s="658"/>
      <c r="P689" s="649"/>
      <c r="Q689" s="128"/>
      <c r="R689" s="112"/>
      <c r="S689" s="75"/>
      <c r="T689" s="115"/>
      <c r="U689" s="115"/>
      <c r="V689" s="114"/>
      <c r="W689" s="114"/>
      <c r="X689" s="115"/>
      <c r="Y689" s="115"/>
      <c r="Z689" s="114"/>
    </row>
    <row r="690" spans="2:26" ht="15">
      <c r="B690" s="60" t="s">
        <v>265</v>
      </c>
      <c r="C690" s="60"/>
      <c r="D690" s="60"/>
      <c r="E690" s="60"/>
      <c r="F690" s="60"/>
      <c r="G690" s="60"/>
      <c r="H690" s="61">
        <v>680799.35</v>
      </c>
      <c r="I690" s="112"/>
      <c r="J690" s="112"/>
      <c r="K690" s="112"/>
      <c r="L690" s="112"/>
      <c r="M690" s="112"/>
      <c r="N690" s="112"/>
      <c r="O690" s="658">
        <f>9000+398327.91</f>
        <v>407327.91</v>
      </c>
      <c r="P690" s="658">
        <f>9000+326396.5-366.11</f>
        <v>335030.39</v>
      </c>
      <c r="Q690" s="199">
        <v>255962.14</v>
      </c>
      <c r="R690" s="75">
        <v>289379.79</v>
      </c>
      <c r="S690" s="75">
        <v>288901.43</v>
      </c>
      <c r="T690" s="115"/>
      <c r="U690" s="115"/>
      <c r="V690" s="114">
        <v>358486.19</v>
      </c>
      <c r="W690" s="114">
        <f>1053992.55-659437.66</f>
        <v>394554.89</v>
      </c>
      <c r="X690" s="115"/>
      <c r="Y690" s="115"/>
      <c r="Z690" s="114">
        <f>-1883589.72+2344899.77</f>
        <v>461310.05000000005</v>
      </c>
    </row>
    <row r="691" spans="2:26" ht="15" hidden="1">
      <c r="B691" s="60" t="s">
        <v>186</v>
      </c>
      <c r="C691" s="60"/>
      <c r="D691" s="60"/>
      <c r="E691" s="60"/>
      <c r="F691" s="60"/>
      <c r="G691" s="60"/>
      <c r="H691" s="61">
        <v>96783.91</v>
      </c>
      <c r="I691" s="112"/>
      <c r="J691" s="112"/>
      <c r="K691" s="112"/>
      <c r="L691" s="112"/>
      <c r="M691" s="112"/>
      <c r="N691" s="112"/>
      <c r="O691" s="658"/>
      <c r="P691" s="658"/>
      <c r="Q691" s="199"/>
      <c r="R691" s="75">
        <v>86831.73</v>
      </c>
      <c r="S691" s="75"/>
      <c r="T691" s="115"/>
      <c r="U691" s="115"/>
      <c r="V691" s="114">
        <v>167317.49</v>
      </c>
      <c r="W691" s="114"/>
      <c r="X691" s="115"/>
      <c r="Y691" s="115"/>
      <c r="Z691" s="114"/>
    </row>
    <row r="692" spans="1:26" ht="15" hidden="1">
      <c r="A692" s="168"/>
      <c r="B692" s="60" t="s">
        <v>655</v>
      </c>
      <c r="C692" s="60"/>
      <c r="D692" s="60"/>
      <c r="E692" s="60"/>
      <c r="F692" s="60"/>
      <c r="G692" s="60"/>
      <c r="H692" s="61"/>
      <c r="I692" s="112"/>
      <c r="J692" s="112"/>
      <c r="K692" s="112"/>
      <c r="L692" s="112"/>
      <c r="M692" s="112"/>
      <c r="N692" s="112"/>
      <c r="O692" s="658"/>
      <c r="P692" s="658"/>
      <c r="Q692" s="199">
        <v>39450.71</v>
      </c>
      <c r="R692" s="75">
        <v>49826.67</v>
      </c>
      <c r="S692" s="75"/>
      <c r="T692" s="115"/>
      <c r="U692" s="115"/>
      <c r="V692" s="114"/>
      <c r="W692" s="114"/>
      <c r="X692" s="115"/>
      <c r="Y692" s="115"/>
      <c r="Z692" s="114"/>
    </row>
    <row r="693" spans="1:26" ht="15" hidden="1">
      <c r="A693" s="168"/>
      <c r="B693" s="60" t="s">
        <v>188</v>
      </c>
      <c r="C693" s="60"/>
      <c r="D693" s="60"/>
      <c r="E693" s="60"/>
      <c r="F693" s="60"/>
      <c r="G693" s="60"/>
      <c r="H693" s="61"/>
      <c r="I693" s="112"/>
      <c r="J693" s="112"/>
      <c r="K693" s="112"/>
      <c r="L693" s="112"/>
      <c r="M693" s="112"/>
      <c r="N693" s="112"/>
      <c r="O693" s="658"/>
      <c r="P693" s="658"/>
      <c r="Q693" s="199">
        <v>110910.63</v>
      </c>
      <c r="R693" s="112"/>
      <c r="S693" s="75">
        <f>400+1746.68</f>
        <v>2146.6800000000003</v>
      </c>
      <c r="T693" s="115"/>
      <c r="U693" s="115"/>
      <c r="V693" s="114">
        <v>400</v>
      </c>
      <c r="W693" s="114"/>
      <c r="X693" s="115"/>
      <c r="Y693" s="115"/>
      <c r="Z693" s="114"/>
    </row>
    <row r="694" spans="2:26" ht="15">
      <c r="B694" s="60" t="s">
        <v>579</v>
      </c>
      <c r="C694" s="60"/>
      <c r="D694" s="60"/>
      <c r="E694" s="60"/>
      <c r="F694" s="60"/>
      <c r="G694" s="60"/>
      <c r="H694" s="61"/>
      <c r="I694" s="112"/>
      <c r="J694" s="112"/>
      <c r="K694" s="112"/>
      <c r="L694" s="112"/>
      <c r="M694" s="112"/>
      <c r="N694" s="112"/>
      <c r="O694" s="658"/>
      <c r="P694" s="658">
        <v>17339441.26</v>
      </c>
      <c r="Q694" s="128"/>
      <c r="R694" s="112"/>
      <c r="S694" s="75">
        <v>12240872.34</v>
      </c>
      <c r="T694" s="115"/>
      <c r="U694" s="115"/>
      <c r="V694" s="114">
        <v>8119286.78</v>
      </c>
      <c r="W694" s="114"/>
      <c r="X694" s="115"/>
      <c r="Y694" s="115"/>
      <c r="Z694" s="114"/>
    </row>
    <row r="695" spans="2:51" s="168" customFormat="1" ht="15" hidden="1">
      <c r="B695" s="60" t="s">
        <v>680</v>
      </c>
      <c r="C695" s="60"/>
      <c r="D695" s="60"/>
      <c r="E695" s="60"/>
      <c r="F695" s="60"/>
      <c r="G695" s="60"/>
      <c r="H695" s="61"/>
      <c r="I695" s="128"/>
      <c r="J695" s="128"/>
      <c r="K695" s="128"/>
      <c r="L695" s="128"/>
      <c r="M695" s="128"/>
      <c r="N695" s="128"/>
      <c r="O695" s="658"/>
      <c r="P695" s="658"/>
      <c r="Q695" s="199">
        <v>336800.85</v>
      </c>
      <c r="R695" s="128"/>
      <c r="S695" s="199"/>
      <c r="T695" s="115"/>
      <c r="U695" s="115"/>
      <c r="V695" s="114"/>
      <c r="W695" s="114"/>
      <c r="X695" s="115"/>
      <c r="Y695" s="115"/>
      <c r="Z695" s="114"/>
      <c r="AA695" s="125"/>
      <c r="AB695" s="125"/>
      <c r="AC695" s="125"/>
      <c r="AD695" s="125"/>
      <c r="AE695" s="125"/>
      <c r="AF695" s="125"/>
      <c r="AG695" s="125"/>
      <c r="AM695" s="125"/>
      <c r="AN695" s="332"/>
      <c r="AO695" s="462"/>
      <c r="AP695" s="462"/>
      <c r="AQ695" s="462"/>
      <c r="AR695" s="462"/>
      <c r="AS695" s="462"/>
      <c r="AT695" s="462"/>
      <c r="AU695" s="462"/>
      <c r="AV695" s="462"/>
      <c r="AW695" s="462"/>
      <c r="AX695" s="462"/>
      <c r="AY695" s="462"/>
    </row>
    <row r="696" spans="2:51" s="168" customFormat="1" ht="15" hidden="1">
      <c r="B696" s="60" t="s">
        <v>681</v>
      </c>
      <c r="C696" s="60"/>
      <c r="D696" s="60"/>
      <c r="E696" s="60"/>
      <c r="F696" s="60"/>
      <c r="G696" s="60"/>
      <c r="H696" s="61"/>
      <c r="I696" s="128"/>
      <c r="J696" s="128"/>
      <c r="K696" s="128"/>
      <c r="L696" s="128"/>
      <c r="M696" s="128"/>
      <c r="N696" s="128"/>
      <c r="O696" s="658"/>
      <c r="P696" s="658"/>
      <c r="Q696" s="199">
        <v>403659.68</v>
      </c>
      <c r="R696" s="128"/>
      <c r="S696" s="199"/>
      <c r="T696" s="115"/>
      <c r="U696" s="115"/>
      <c r="V696" s="114"/>
      <c r="W696" s="114"/>
      <c r="X696" s="115"/>
      <c r="Y696" s="115"/>
      <c r="Z696" s="114"/>
      <c r="AA696" s="125"/>
      <c r="AB696" s="125"/>
      <c r="AC696" s="125"/>
      <c r="AD696" s="125"/>
      <c r="AE696" s="125"/>
      <c r="AF696" s="125"/>
      <c r="AG696" s="125"/>
      <c r="AM696" s="125"/>
      <c r="AN696" s="332"/>
      <c r="AO696" s="462"/>
      <c r="AP696" s="462"/>
      <c r="AQ696" s="462"/>
      <c r="AR696" s="462"/>
      <c r="AS696" s="462"/>
      <c r="AT696" s="462"/>
      <c r="AU696" s="462"/>
      <c r="AV696" s="462"/>
      <c r="AW696" s="462"/>
      <c r="AX696" s="462"/>
      <c r="AY696" s="462"/>
    </row>
    <row r="697" spans="2:26" ht="15" hidden="1">
      <c r="B697" s="60" t="s">
        <v>171</v>
      </c>
      <c r="C697" s="60"/>
      <c r="D697" s="60"/>
      <c r="E697" s="60"/>
      <c r="F697" s="60"/>
      <c r="G697" s="60"/>
      <c r="H697" s="61">
        <v>7188.77</v>
      </c>
      <c r="I697" s="112"/>
      <c r="J697" s="112"/>
      <c r="K697" s="112"/>
      <c r="L697" s="112"/>
      <c r="M697" s="112"/>
      <c r="N697" s="112"/>
      <c r="O697" s="658"/>
      <c r="P697" s="658"/>
      <c r="Q697" s="199"/>
      <c r="R697" s="75">
        <v>349647.65</v>
      </c>
      <c r="S697" s="75"/>
      <c r="T697" s="115"/>
      <c r="U697" s="115"/>
      <c r="V697" s="114">
        <v>907266.18</v>
      </c>
      <c r="W697" s="114"/>
      <c r="X697" s="115"/>
      <c r="Y697" s="115"/>
      <c r="Z697" s="114"/>
    </row>
    <row r="698" spans="2:51" s="168" customFormat="1" ht="15" hidden="1">
      <c r="B698" s="60" t="s">
        <v>679</v>
      </c>
      <c r="C698" s="60"/>
      <c r="D698" s="60"/>
      <c r="E698" s="60"/>
      <c r="F698" s="60"/>
      <c r="G698" s="60"/>
      <c r="H698" s="61"/>
      <c r="I698" s="128"/>
      <c r="J698" s="128"/>
      <c r="K698" s="128"/>
      <c r="L698" s="128"/>
      <c r="M698" s="128"/>
      <c r="N698" s="128"/>
      <c r="O698" s="658"/>
      <c r="P698" s="658"/>
      <c r="Q698" s="199">
        <v>120000</v>
      </c>
      <c r="R698" s="199"/>
      <c r="S698" s="199"/>
      <c r="T698" s="115"/>
      <c r="U698" s="115"/>
      <c r="V698" s="114"/>
      <c r="W698" s="114"/>
      <c r="X698" s="115"/>
      <c r="Y698" s="115"/>
      <c r="Z698" s="114"/>
      <c r="AA698" s="125"/>
      <c r="AB698" s="125"/>
      <c r="AC698" s="125"/>
      <c r="AD698" s="125"/>
      <c r="AE698" s="125"/>
      <c r="AF698" s="125"/>
      <c r="AG698" s="125"/>
      <c r="AM698" s="125"/>
      <c r="AN698" s="332"/>
      <c r="AO698" s="462"/>
      <c r="AP698" s="462"/>
      <c r="AQ698" s="462"/>
      <c r="AR698" s="462"/>
      <c r="AS698" s="462"/>
      <c r="AT698" s="462"/>
      <c r="AU698" s="462"/>
      <c r="AV698" s="462"/>
      <c r="AW698" s="462"/>
      <c r="AX698" s="462"/>
      <c r="AY698" s="462"/>
    </row>
    <row r="699" spans="2:26" ht="15">
      <c r="B699" s="60" t="s">
        <v>172</v>
      </c>
      <c r="C699" s="60"/>
      <c r="D699" s="60"/>
      <c r="E699" s="60"/>
      <c r="F699" s="60"/>
      <c r="G699" s="60"/>
      <c r="H699" s="62">
        <v>136293</v>
      </c>
      <c r="I699" s="62"/>
      <c r="J699" s="62"/>
      <c r="K699" s="112"/>
      <c r="L699" s="112"/>
      <c r="M699" s="112"/>
      <c r="N699" s="112"/>
      <c r="O699" s="669">
        <v>335540.5</v>
      </c>
      <c r="P699" s="669">
        <v>105391</v>
      </c>
      <c r="Q699" s="85">
        <v>131746</v>
      </c>
      <c r="R699" s="85">
        <v>214599</v>
      </c>
      <c r="S699" s="85">
        <v>106633</v>
      </c>
      <c r="T699" s="115"/>
      <c r="U699" s="115"/>
      <c r="V699" s="282">
        <v>47029</v>
      </c>
      <c r="W699" s="282">
        <v>83549</v>
      </c>
      <c r="X699" s="115"/>
      <c r="Y699" s="115"/>
      <c r="Z699" s="282">
        <v>99285</v>
      </c>
    </row>
    <row r="700" spans="2:40" ht="18" thickBot="1">
      <c r="B700" s="72" t="s">
        <v>630</v>
      </c>
      <c r="C700" s="12"/>
      <c r="D700" s="12"/>
      <c r="E700" s="12"/>
      <c r="F700" s="12"/>
      <c r="G700" s="12"/>
      <c r="H700" s="44">
        <f>SUM(H681:H699)</f>
        <v>2454020.6500000004</v>
      </c>
      <c r="O700" s="688">
        <f>SUM(O682:O699)</f>
        <v>1404565.0899999999</v>
      </c>
      <c r="P700" s="688">
        <f>SUM(P681:P699)</f>
        <v>22340710.330000002</v>
      </c>
      <c r="Q700" s="205">
        <f>SUM(Q681:Q699)</f>
        <v>2087483.51</v>
      </c>
      <c r="R700" s="205">
        <f>SUM(R681:R699)</f>
        <v>1538444.98</v>
      </c>
      <c r="S700" s="205">
        <f>SUM(S681:S699)</f>
        <v>16040662.51</v>
      </c>
      <c r="V700" s="321">
        <f>SUM(V681:V699)</f>
        <v>12138606.780000001</v>
      </c>
      <c r="W700" s="321">
        <f>SUM(W681:W699)</f>
        <v>1137308.5299999998</v>
      </c>
      <c r="Z700" s="321">
        <f>SUM(Z681:Z699)</f>
        <v>1175937.95</v>
      </c>
      <c r="AN700" s="478"/>
    </row>
    <row r="701" spans="16:26" ht="15" thickTop="1">
      <c r="P701" s="458"/>
      <c r="Z701" s="286"/>
    </row>
    <row r="702" spans="1:26" ht="15" hidden="1">
      <c r="A702" s="3" t="s">
        <v>96</v>
      </c>
      <c r="B702" s="60" t="s">
        <v>555</v>
      </c>
      <c r="Z702" s="286"/>
    </row>
    <row r="703" spans="1:26" ht="15" hidden="1">
      <c r="A703" s="3" t="s">
        <v>96</v>
      </c>
      <c r="B703" s="60" t="s">
        <v>556</v>
      </c>
      <c r="Z703" s="286"/>
    </row>
    <row r="704" spans="1:26" ht="15" hidden="1">
      <c r="A704" s="3" t="s">
        <v>96</v>
      </c>
      <c r="B704" s="60" t="s">
        <v>557</v>
      </c>
      <c r="Z704" s="286"/>
    </row>
    <row r="705" spans="1:26" ht="15" hidden="1">
      <c r="A705" s="3" t="s">
        <v>96</v>
      </c>
      <c r="B705" s="60" t="s">
        <v>558</v>
      </c>
      <c r="Z705" s="286"/>
    </row>
    <row r="706" spans="1:26" ht="15" hidden="1">
      <c r="A706" s="3" t="s">
        <v>96</v>
      </c>
      <c r="B706" s="60" t="s">
        <v>560</v>
      </c>
      <c r="Z706" s="286"/>
    </row>
    <row r="707" spans="1:26" ht="15" hidden="1">
      <c r="A707" s="3" t="s">
        <v>96</v>
      </c>
      <c r="B707" s="60" t="s">
        <v>559</v>
      </c>
      <c r="Z707" s="286"/>
    </row>
    <row r="708" spans="1:26" ht="15" hidden="1">
      <c r="A708" s="3" t="s">
        <v>96</v>
      </c>
      <c r="B708" s="60" t="s">
        <v>561</v>
      </c>
      <c r="Z708" s="286"/>
    </row>
    <row r="709" spans="2:26" ht="15">
      <c r="B709" s="60" t="s">
        <v>1355</v>
      </c>
      <c r="Z709" s="286"/>
    </row>
    <row r="710" spans="2:51" s="168" customFormat="1" ht="15">
      <c r="B710" s="72"/>
      <c r="C710" s="12"/>
      <c r="D710" s="12"/>
      <c r="E710" s="12"/>
      <c r="F710" s="25"/>
      <c r="G710" s="12"/>
      <c r="H710" s="6"/>
      <c r="I710" s="6"/>
      <c r="J710" s="6"/>
      <c r="O710" s="456"/>
      <c r="P710" s="456"/>
      <c r="Q710" s="530" t="s">
        <v>642</v>
      </c>
      <c r="R710" s="217"/>
      <c r="S710" s="217"/>
      <c r="T710" s="125"/>
      <c r="U710" s="125"/>
      <c r="V710" s="125"/>
      <c r="W710" s="125"/>
      <c r="X710" s="125"/>
      <c r="Y710" s="125"/>
      <c r="Z710" s="286"/>
      <c r="AA710" s="125"/>
      <c r="AB710" s="125"/>
      <c r="AC710" s="125"/>
      <c r="AD710" s="125"/>
      <c r="AE710" s="125"/>
      <c r="AF710" s="125"/>
      <c r="AG710" s="125"/>
      <c r="AM710" s="125"/>
      <c r="AN710" s="332"/>
      <c r="AO710" s="462"/>
      <c r="AP710" s="462"/>
      <c r="AQ710" s="462"/>
      <c r="AR710" s="462"/>
      <c r="AS710" s="462"/>
      <c r="AT710" s="462"/>
      <c r="AU710" s="462"/>
      <c r="AV710" s="462"/>
      <c r="AW710" s="462"/>
      <c r="AX710" s="462"/>
      <c r="AY710" s="462"/>
    </row>
    <row r="711" spans="2:51" s="168" customFormat="1" ht="18">
      <c r="B711" s="109" t="s">
        <v>1000</v>
      </c>
      <c r="C711" s="131"/>
      <c r="D711" s="131"/>
      <c r="E711" s="131"/>
      <c r="F711" s="25"/>
      <c r="G711" s="12"/>
      <c r="H711" s="6"/>
      <c r="I711" s="6"/>
      <c r="J711" s="6"/>
      <c r="O711" s="32">
        <v>2023</v>
      </c>
      <c r="P711" s="32">
        <v>2022</v>
      </c>
      <c r="Q711" s="110">
        <v>2021</v>
      </c>
      <c r="R711" s="110">
        <v>2020</v>
      </c>
      <c r="S711" s="110">
        <v>2019</v>
      </c>
      <c r="T711" s="125"/>
      <c r="U711" s="125"/>
      <c r="V711" s="295">
        <v>2018</v>
      </c>
      <c r="W711" s="295">
        <v>2017</v>
      </c>
      <c r="X711" s="300"/>
      <c r="Y711" s="300"/>
      <c r="Z711" s="295">
        <v>2016</v>
      </c>
      <c r="AA711" s="125"/>
      <c r="AB711" s="125"/>
      <c r="AC711" s="125"/>
      <c r="AD711" s="125"/>
      <c r="AE711" s="125"/>
      <c r="AF711" s="125"/>
      <c r="AG711" s="125"/>
      <c r="AM711" s="125"/>
      <c r="AN711" s="332"/>
      <c r="AO711" s="462"/>
      <c r="AP711" s="462"/>
      <c r="AQ711" s="462"/>
      <c r="AR711" s="462"/>
      <c r="AS711" s="462"/>
      <c r="AT711" s="462"/>
      <c r="AU711" s="462"/>
      <c r="AV711" s="462"/>
      <c r="AW711" s="462"/>
      <c r="AX711" s="462"/>
      <c r="AY711" s="462"/>
    </row>
    <row r="712" spans="2:51" s="168" customFormat="1" ht="21">
      <c r="B712" s="182" t="s">
        <v>262</v>
      </c>
      <c r="C712" s="131"/>
      <c r="D712" s="131"/>
      <c r="E712" s="131"/>
      <c r="F712" s="25"/>
      <c r="G712" s="12"/>
      <c r="H712" s="6"/>
      <c r="I712" s="6"/>
      <c r="J712" s="6"/>
      <c r="O712" s="456"/>
      <c r="T712" s="125"/>
      <c r="U712" s="125"/>
      <c r="V712" s="125"/>
      <c r="W712" s="125"/>
      <c r="X712" s="125"/>
      <c r="Y712" s="125"/>
      <c r="Z712" s="286"/>
      <c r="AA712" s="125"/>
      <c r="AB712" s="125"/>
      <c r="AC712" s="125"/>
      <c r="AD712" s="125"/>
      <c r="AE712" s="125"/>
      <c r="AF712" s="125"/>
      <c r="AG712" s="125"/>
      <c r="AM712" s="125"/>
      <c r="AN712" s="332"/>
      <c r="AO712" s="462"/>
      <c r="AP712" s="462"/>
      <c r="AQ712" s="462"/>
      <c r="AR712" s="462"/>
      <c r="AS712" s="462"/>
      <c r="AT712" s="462"/>
      <c r="AU712" s="462"/>
      <c r="AV712" s="462"/>
      <c r="AW712" s="462"/>
      <c r="AX712" s="462"/>
      <c r="AY712" s="462"/>
    </row>
    <row r="713" spans="2:51" s="168" customFormat="1" ht="15">
      <c r="B713" s="60" t="s">
        <v>164</v>
      </c>
      <c r="C713" s="12"/>
      <c r="D713" s="12"/>
      <c r="E713" s="12"/>
      <c r="F713" s="25"/>
      <c r="G713" s="12"/>
      <c r="H713" s="6"/>
      <c r="I713" s="6"/>
      <c r="J713" s="6"/>
      <c r="O713" s="456"/>
      <c r="R713" s="818"/>
      <c r="S713" s="818"/>
      <c r="T713" s="125"/>
      <c r="U713" s="125"/>
      <c r="V713" s="125"/>
      <c r="W713" s="125"/>
      <c r="X713" s="125"/>
      <c r="Y713" s="125"/>
      <c r="Z713" s="286"/>
      <c r="AA713" s="125"/>
      <c r="AB713" s="125"/>
      <c r="AC713" s="125"/>
      <c r="AD713" s="125"/>
      <c r="AE713" s="125"/>
      <c r="AF713" s="125"/>
      <c r="AG713" s="125"/>
      <c r="AM713" s="125"/>
      <c r="AN713" s="332"/>
      <c r="AO713" s="462"/>
      <c r="AP713" s="462"/>
      <c r="AQ713" s="462"/>
      <c r="AR713" s="462"/>
      <c r="AS713" s="462"/>
      <c r="AT713" s="462"/>
      <c r="AU713" s="462"/>
      <c r="AV713" s="462"/>
      <c r="AW713" s="462"/>
      <c r="AX713" s="462"/>
      <c r="AY713" s="462"/>
    </row>
    <row r="714" spans="2:51" s="168" customFormat="1" ht="14.25">
      <c r="B714" s="12"/>
      <c r="C714" s="12"/>
      <c r="D714" s="12"/>
      <c r="E714" s="12"/>
      <c r="F714" s="25"/>
      <c r="G714" s="12"/>
      <c r="H714" s="6"/>
      <c r="I714" s="6"/>
      <c r="J714" s="6"/>
      <c r="O714" s="456"/>
      <c r="R714" s="818"/>
      <c r="S714" s="818"/>
      <c r="T714" s="125"/>
      <c r="U714" s="125"/>
      <c r="V714" s="125"/>
      <c r="W714" s="125"/>
      <c r="X714" s="125"/>
      <c r="Y714" s="125"/>
      <c r="Z714" s="286"/>
      <c r="AA714" s="125"/>
      <c r="AB714" s="125"/>
      <c r="AC714" s="125"/>
      <c r="AD714" s="125"/>
      <c r="AE714" s="125"/>
      <c r="AF714" s="125"/>
      <c r="AG714" s="125"/>
      <c r="AM714" s="125"/>
      <c r="AN714" s="332"/>
      <c r="AO714" s="462"/>
      <c r="AP714" s="462"/>
      <c r="AQ714" s="462"/>
      <c r="AR714" s="462"/>
      <c r="AS714" s="462"/>
      <c r="AT714" s="462"/>
      <c r="AU714" s="462"/>
      <c r="AV714" s="462"/>
      <c r="AW714" s="462"/>
      <c r="AX714" s="462"/>
      <c r="AY714" s="462"/>
    </row>
    <row r="715" spans="2:51" s="168" customFormat="1" ht="14.25" hidden="1">
      <c r="B715" s="12" t="s">
        <v>494</v>
      </c>
      <c r="C715" s="12"/>
      <c r="D715" s="12"/>
      <c r="E715" s="12"/>
      <c r="F715" s="25"/>
      <c r="G715" s="12"/>
      <c r="H715" s="6"/>
      <c r="I715" s="6"/>
      <c r="J715" s="6"/>
      <c r="O715" s="456"/>
      <c r="T715" s="125"/>
      <c r="U715" s="125"/>
      <c r="V715" s="125"/>
      <c r="W715" s="125"/>
      <c r="X715" s="125"/>
      <c r="Y715" s="125"/>
      <c r="Z715" s="125"/>
      <c r="AA715" s="125"/>
      <c r="AB715" s="125"/>
      <c r="AC715" s="125"/>
      <c r="AD715" s="125"/>
      <c r="AE715" s="125"/>
      <c r="AF715" s="125"/>
      <c r="AG715" s="125"/>
      <c r="AM715" s="125"/>
      <c r="AN715" s="332"/>
      <c r="AO715" s="462"/>
      <c r="AP715" s="462"/>
      <c r="AQ715" s="462"/>
      <c r="AR715" s="462"/>
      <c r="AS715" s="462"/>
      <c r="AT715" s="462"/>
      <c r="AU715" s="462"/>
      <c r="AV715" s="462"/>
      <c r="AW715" s="462"/>
      <c r="AX715" s="462"/>
      <c r="AY715" s="462"/>
    </row>
    <row r="716" spans="2:51" s="168" customFormat="1" ht="14.25" hidden="1">
      <c r="B716" s="12" t="s">
        <v>168</v>
      </c>
      <c r="C716" s="12"/>
      <c r="D716" s="12"/>
      <c r="E716" s="12"/>
      <c r="F716" s="12"/>
      <c r="G716" s="12"/>
      <c r="H716" s="6">
        <v>589648.9</v>
      </c>
      <c r="I716" s="6"/>
      <c r="J716" s="6"/>
      <c r="O716" s="456"/>
      <c r="T716" s="125"/>
      <c r="U716" s="125"/>
      <c r="V716" s="125"/>
      <c r="W716" s="286"/>
      <c r="X716" s="125"/>
      <c r="Y716" s="125"/>
      <c r="Z716" s="286"/>
      <c r="AA716" s="125"/>
      <c r="AB716" s="125"/>
      <c r="AC716" s="125"/>
      <c r="AD716" s="125"/>
      <c r="AE716" s="125"/>
      <c r="AF716" s="125"/>
      <c r="AG716" s="125"/>
      <c r="AM716" s="125"/>
      <c r="AN716" s="332"/>
      <c r="AO716" s="462"/>
      <c r="AP716" s="462"/>
      <c r="AQ716" s="462"/>
      <c r="AR716" s="462"/>
      <c r="AS716" s="462"/>
      <c r="AT716" s="462"/>
      <c r="AU716" s="462"/>
      <c r="AV716" s="462"/>
      <c r="AW716" s="462"/>
      <c r="AX716" s="462"/>
      <c r="AY716" s="462"/>
    </row>
    <row r="717" spans="2:51" s="168" customFormat="1" ht="14.25" hidden="1">
      <c r="B717" s="12" t="s">
        <v>259</v>
      </c>
      <c r="C717" s="12"/>
      <c r="D717" s="12"/>
      <c r="E717" s="12"/>
      <c r="F717" s="12"/>
      <c r="G717" s="12"/>
      <c r="H717" s="6"/>
      <c r="I717" s="6"/>
      <c r="J717" s="6"/>
      <c r="O717" s="456"/>
      <c r="T717" s="125"/>
      <c r="U717" s="125"/>
      <c r="V717" s="125"/>
      <c r="W717" s="286"/>
      <c r="X717" s="125"/>
      <c r="Y717" s="125"/>
      <c r="Z717" s="286"/>
      <c r="AA717" s="125"/>
      <c r="AB717" s="125"/>
      <c r="AC717" s="125"/>
      <c r="AD717" s="125"/>
      <c r="AE717" s="125"/>
      <c r="AF717" s="125"/>
      <c r="AG717" s="125"/>
      <c r="AM717" s="125"/>
      <c r="AN717" s="332"/>
      <c r="AO717" s="462"/>
      <c r="AP717" s="462"/>
      <c r="AQ717" s="462"/>
      <c r="AR717" s="462"/>
      <c r="AS717" s="462"/>
      <c r="AT717" s="462"/>
      <c r="AU717" s="462"/>
      <c r="AV717" s="462"/>
      <c r="AW717" s="462"/>
      <c r="AX717" s="462"/>
      <c r="AY717" s="462"/>
    </row>
    <row r="718" spans="2:51" s="168" customFormat="1" ht="14.25" hidden="1">
      <c r="B718" s="12" t="s">
        <v>260</v>
      </c>
      <c r="C718" s="12"/>
      <c r="D718" s="12"/>
      <c r="E718" s="12"/>
      <c r="F718" s="12"/>
      <c r="G718" s="12"/>
      <c r="H718" s="6">
        <v>0</v>
      </c>
      <c r="I718" s="6"/>
      <c r="J718" s="6"/>
      <c r="O718" s="456"/>
      <c r="T718" s="125"/>
      <c r="U718" s="125"/>
      <c r="V718" s="125"/>
      <c r="W718" s="286"/>
      <c r="X718" s="125"/>
      <c r="Y718" s="125"/>
      <c r="Z718" s="286"/>
      <c r="AA718" s="125"/>
      <c r="AB718" s="125"/>
      <c r="AC718" s="125"/>
      <c r="AD718" s="125"/>
      <c r="AE718" s="125"/>
      <c r="AF718" s="125"/>
      <c r="AG718" s="125"/>
      <c r="AM718" s="125"/>
      <c r="AN718" s="332"/>
      <c r="AO718" s="462"/>
      <c r="AP718" s="462"/>
      <c r="AQ718" s="462"/>
      <c r="AR718" s="462"/>
      <c r="AS718" s="462"/>
      <c r="AT718" s="462"/>
      <c r="AU718" s="462"/>
      <c r="AV718" s="462"/>
      <c r="AW718" s="462"/>
      <c r="AX718" s="462"/>
      <c r="AY718" s="462"/>
    </row>
    <row r="719" spans="2:51" s="168" customFormat="1" ht="15" hidden="1">
      <c r="B719" s="60" t="s">
        <v>169</v>
      </c>
      <c r="C719" s="60"/>
      <c r="D719" s="60"/>
      <c r="E719" s="60"/>
      <c r="F719" s="60"/>
      <c r="G719" s="60"/>
      <c r="H719" s="61">
        <f>567161.8-521856</f>
        <v>45305.80000000005</v>
      </c>
      <c r="I719" s="61"/>
      <c r="J719" s="61"/>
      <c r="K719" s="128"/>
      <c r="L719" s="128"/>
      <c r="M719" s="128"/>
      <c r="N719" s="128"/>
      <c r="O719" s="461"/>
      <c r="P719" s="220"/>
      <c r="Q719" s="220">
        <v>0</v>
      </c>
      <c r="R719" s="220">
        <v>28505</v>
      </c>
      <c r="S719" s="220">
        <v>124995.43</v>
      </c>
      <c r="T719" s="115"/>
      <c r="U719" s="115"/>
      <c r="V719" s="114">
        <v>577192.11</v>
      </c>
      <c r="W719" s="114">
        <v>320891.51</v>
      </c>
      <c r="X719" s="115"/>
      <c r="Y719" s="115"/>
      <c r="Z719" s="114">
        <v>93068.66</v>
      </c>
      <c r="AA719" s="125"/>
      <c r="AB719" s="125"/>
      <c r="AC719" s="125"/>
      <c r="AD719" s="125"/>
      <c r="AE719" s="125"/>
      <c r="AF719" s="125"/>
      <c r="AG719" s="125"/>
      <c r="AM719" s="125"/>
      <c r="AN719" s="332"/>
      <c r="AO719" s="462"/>
      <c r="AP719" s="462"/>
      <c r="AQ719" s="462"/>
      <c r="AR719" s="462"/>
      <c r="AS719" s="462"/>
      <c r="AT719" s="462"/>
      <c r="AU719" s="462"/>
      <c r="AV719" s="462"/>
      <c r="AW719" s="462"/>
      <c r="AX719" s="462"/>
      <c r="AY719" s="462"/>
    </row>
    <row r="720" spans="2:51" s="168" customFormat="1" ht="15">
      <c r="B720" s="60" t="s">
        <v>541</v>
      </c>
      <c r="C720" s="60"/>
      <c r="D720" s="60"/>
      <c r="E720" s="60"/>
      <c r="F720" s="60"/>
      <c r="G720" s="60"/>
      <c r="H720" s="61"/>
      <c r="I720" s="61"/>
      <c r="J720" s="61"/>
      <c r="K720" s="128"/>
      <c r="L720" s="128"/>
      <c r="M720" s="128"/>
      <c r="N720" s="128"/>
      <c r="O720" s="658">
        <v>18201.5</v>
      </c>
      <c r="P720" s="658">
        <v>16992</v>
      </c>
      <c r="Q720" s="220">
        <v>982466.31</v>
      </c>
      <c r="R720" s="220">
        <v>10991.7</v>
      </c>
      <c r="S720" s="220">
        <v>690685.7</v>
      </c>
      <c r="T720" s="115"/>
      <c r="U720" s="115"/>
      <c r="V720" s="114">
        <v>0</v>
      </c>
      <c r="W720" s="114">
        <f>371350.91+422145</f>
        <v>793495.9099999999</v>
      </c>
      <c r="X720" s="115"/>
      <c r="Y720" s="115"/>
      <c r="Z720" s="114"/>
      <c r="AA720" s="125"/>
      <c r="AB720" s="125"/>
      <c r="AC720" s="125"/>
      <c r="AD720" s="125"/>
      <c r="AE720" s="125"/>
      <c r="AF720" s="125"/>
      <c r="AG720" s="125"/>
      <c r="AM720" s="125"/>
      <c r="AN720" s="332"/>
      <c r="AO720" s="462"/>
      <c r="AP720" s="462"/>
      <c r="AQ720" s="462"/>
      <c r="AR720" s="462"/>
      <c r="AS720" s="462"/>
      <c r="AT720" s="462"/>
      <c r="AU720" s="462"/>
      <c r="AV720" s="462"/>
      <c r="AW720" s="462"/>
      <c r="AX720" s="462"/>
      <c r="AY720" s="462"/>
    </row>
    <row r="721" spans="2:51" s="168" customFormat="1" ht="15" hidden="1">
      <c r="B721" s="60" t="s">
        <v>263</v>
      </c>
      <c r="C721" s="60"/>
      <c r="D721" s="60"/>
      <c r="E721" s="60"/>
      <c r="F721" s="60"/>
      <c r="G721" s="60"/>
      <c r="H721" s="61"/>
      <c r="I721" s="61"/>
      <c r="J721" s="61"/>
      <c r="K721" s="128"/>
      <c r="L721" s="128"/>
      <c r="M721" s="128"/>
      <c r="N721" s="128"/>
      <c r="O721" s="649"/>
      <c r="P721" s="649"/>
      <c r="Q721" s="128"/>
      <c r="R721" s="128"/>
      <c r="S721" s="220"/>
      <c r="T721" s="115"/>
      <c r="U721" s="115"/>
      <c r="V721" s="114"/>
      <c r="W721" s="114"/>
      <c r="X721" s="115"/>
      <c r="Y721" s="115"/>
      <c r="Z721" s="114"/>
      <c r="AA721" s="125"/>
      <c r="AB721" s="125"/>
      <c r="AC721" s="125"/>
      <c r="AD721" s="125"/>
      <c r="AE721" s="125"/>
      <c r="AF721" s="125"/>
      <c r="AG721" s="125"/>
      <c r="AM721" s="125"/>
      <c r="AN721" s="332"/>
      <c r="AO721" s="462"/>
      <c r="AP721" s="462"/>
      <c r="AQ721" s="462"/>
      <c r="AR721" s="462"/>
      <c r="AS721" s="462"/>
      <c r="AT721" s="462"/>
      <c r="AU721" s="462"/>
      <c r="AV721" s="462"/>
      <c r="AW721" s="462"/>
      <c r="AX721" s="462"/>
      <c r="AY721" s="462"/>
    </row>
    <row r="722" spans="2:41" ht="15">
      <c r="B722" s="60" t="s">
        <v>263</v>
      </c>
      <c r="C722" s="60"/>
      <c r="D722" s="60"/>
      <c r="E722" s="60"/>
      <c r="F722" s="60"/>
      <c r="G722" s="60"/>
      <c r="H722" s="61"/>
      <c r="I722" s="112"/>
      <c r="J722" s="112"/>
      <c r="K722" s="112"/>
      <c r="L722" s="112"/>
      <c r="M722" s="112"/>
      <c r="N722" s="112"/>
      <c r="O722" s="658">
        <v>90206</v>
      </c>
      <c r="P722" s="656">
        <v>45145</v>
      </c>
      <c r="Q722" s="88">
        <v>45145</v>
      </c>
      <c r="R722" s="88">
        <v>2714</v>
      </c>
      <c r="S722" s="75"/>
      <c r="T722" s="115"/>
      <c r="U722" s="115"/>
      <c r="V722" s="114"/>
      <c r="W722" s="114"/>
      <c r="X722" s="115"/>
      <c r="Y722" s="115"/>
      <c r="Z722" s="114"/>
      <c r="AO722" s="285"/>
    </row>
    <row r="723" spans="2:51" s="168" customFormat="1" ht="15">
      <c r="B723" s="60" t="s">
        <v>262</v>
      </c>
      <c r="C723" s="60"/>
      <c r="D723" s="60"/>
      <c r="E723" s="60"/>
      <c r="F723" s="60"/>
      <c r="G723" s="60"/>
      <c r="H723" s="61">
        <v>490.6</v>
      </c>
      <c r="I723" s="61"/>
      <c r="J723" s="61"/>
      <c r="K723" s="128"/>
      <c r="L723" s="128"/>
      <c r="M723" s="128"/>
      <c r="N723" s="128"/>
      <c r="O723" s="658">
        <f>18675+67411.2+11722.47</f>
        <v>97808.67</v>
      </c>
      <c r="P723" s="658">
        <f>400+53178.79+18675</f>
        <v>72253.79000000001</v>
      </c>
      <c r="Q723" s="220">
        <f>18675+34566.67</f>
        <v>53241.67</v>
      </c>
      <c r="R723" s="220">
        <f>18675+400</f>
        <v>19075</v>
      </c>
      <c r="S723" s="220">
        <v>18675</v>
      </c>
      <c r="T723" s="115"/>
      <c r="U723" s="115"/>
      <c r="V723" s="114">
        <v>18675</v>
      </c>
      <c r="W723" s="114">
        <v>11025</v>
      </c>
      <c r="X723" s="115"/>
      <c r="Y723" s="115"/>
      <c r="Z723" s="114">
        <v>5775</v>
      </c>
      <c r="AA723" s="125"/>
      <c r="AB723" s="125"/>
      <c r="AC723" s="125"/>
      <c r="AD723" s="125"/>
      <c r="AE723" s="125"/>
      <c r="AF723" s="125"/>
      <c r="AG723" s="125"/>
      <c r="AM723" s="125"/>
      <c r="AN723" s="332"/>
      <c r="AO723" s="462"/>
      <c r="AP723" s="462"/>
      <c r="AQ723" s="462"/>
      <c r="AR723" s="462"/>
      <c r="AS723" s="462"/>
      <c r="AT723" s="462"/>
      <c r="AU723" s="462"/>
      <c r="AV723" s="462"/>
      <c r="AW723" s="462"/>
      <c r="AX723" s="462"/>
      <c r="AY723" s="462"/>
    </row>
    <row r="724" spans="2:51" s="168" customFormat="1" ht="14.25" hidden="1">
      <c r="B724" s="12" t="s">
        <v>491</v>
      </c>
      <c r="C724" s="12"/>
      <c r="D724" s="12"/>
      <c r="E724" s="12"/>
      <c r="F724" s="12"/>
      <c r="G724" s="12"/>
      <c r="H724" s="6">
        <v>24056.91</v>
      </c>
      <c r="I724" s="6"/>
      <c r="J724" s="6"/>
      <c r="O724" s="664"/>
      <c r="P724" s="664"/>
      <c r="R724" s="48"/>
      <c r="S724" s="48"/>
      <c r="T724" s="125"/>
      <c r="U724" s="125"/>
      <c r="V724" s="286"/>
      <c r="W724" s="286"/>
      <c r="X724" s="125"/>
      <c r="Y724" s="125"/>
      <c r="Z724" s="286"/>
      <c r="AA724" s="125"/>
      <c r="AB724" s="125"/>
      <c r="AC724" s="125"/>
      <c r="AD724" s="125"/>
      <c r="AE724" s="125"/>
      <c r="AF724" s="125"/>
      <c r="AG724" s="125"/>
      <c r="AM724" s="125"/>
      <c r="AN724" s="332"/>
      <c r="AO724" s="462"/>
      <c r="AP724" s="462"/>
      <c r="AQ724" s="462"/>
      <c r="AR724" s="462"/>
      <c r="AS724" s="462"/>
      <c r="AT724" s="462"/>
      <c r="AU724" s="462"/>
      <c r="AV724" s="462"/>
      <c r="AW724" s="462"/>
      <c r="AX724" s="462"/>
      <c r="AY724" s="462"/>
    </row>
    <row r="725" spans="2:51" s="168" customFormat="1" ht="14.25" hidden="1">
      <c r="B725" s="12" t="s">
        <v>492</v>
      </c>
      <c r="C725" s="12"/>
      <c r="D725" s="12"/>
      <c r="E725" s="12"/>
      <c r="F725" s="12"/>
      <c r="G725" s="12"/>
      <c r="H725" s="6">
        <v>6938259.74</v>
      </c>
      <c r="I725" s="6"/>
      <c r="J725" s="6"/>
      <c r="O725" s="664"/>
      <c r="P725" s="664"/>
      <c r="R725" s="48"/>
      <c r="S725" s="48"/>
      <c r="T725" s="125"/>
      <c r="U725" s="125"/>
      <c r="V725" s="286"/>
      <c r="W725" s="286"/>
      <c r="X725" s="125"/>
      <c r="Y725" s="125"/>
      <c r="Z725" s="286"/>
      <c r="AA725" s="125"/>
      <c r="AB725" s="125"/>
      <c r="AC725" s="125"/>
      <c r="AD725" s="125"/>
      <c r="AE725" s="125"/>
      <c r="AF725" s="125"/>
      <c r="AG725" s="125"/>
      <c r="AM725" s="125"/>
      <c r="AN725" s="332"/>
      <c r="AO725" s="462"/>
      <c r="AP725" s="462"/>
      <c r="AQ725" s="462"/>
      <c r="AR725" s="462"/>
      <c r="AS725" s="462"/>
      <c r="AT725" s="462"/>
      <c r="AU725" s="462"/>
      <c r="AV725" s="462"/>
      <c r="AW725" s="462"/>
      <c r="AX725" s="462"/>
      <c r="AY725" s="462"/>
    </row>
    <row r="726" spans="2:51" s="168" customFormat="1" ht="14.25" hidden="1">
      <c r="B726" s="12" t="s">
        <v>493</v>
      </c>
      <c r="C726" s="12"/>
      <c r="D726" s="12"/>
      <c r="E726" s="12"/>
      <c r="F726" s="12"/>
      <c r="G726" s="12"/>
      <c r="H726" s="6">
        <v>5400</v>
      </c>
      <c r="I726" s="6"/>
      <c r="J726" s="6"/>
      <c r="O726" s="664"/>
      <c r="P726" s="664"/>
      <c r="R726" s="48"/>
      <c r="S726" s="48"/>
      <c r="T726" s="125"/>
      <c r="U726" s="125"/>
      <c r="V726" s="286"/>
      <c r="W726" s="286"/>
      <c r="X726" s="125"/>
      <c r="Y726" s="125"/>
      <c r="Z726" s="286"/>
      <c r="AA726" s="125"/>
      <c r="AB726" s="125"/>
      <c r="AC726" s="125"/>
      <c r="AD726" s="125"/>
      <c r="AE726" s="125"/>
      <c r="AF726" s="125"/>
      <c r="AG726" s="125"/>
      <c r="AM726" s="125"/>
      <c r="AN726" s="332"/>
      <c r="AO726" s="462"/>
      <c r="AP726" s="462"/>
      <c r="AQ726" s="462"/>
      <c r="AR726" s="462"/>
      <c r="AS726" s="462"/>
      <c r="AT726" s="462"/>
      <c r="AU726" s="462"/>
      <c r="AV726" s="462"/>
      <c r="AW726" s="462"/>
      <c r="AX726" s="462"/>
      <c r="AY726" s="462"/>
    </row>
    <row r="727" spans="2:51" s="168" customFormat="1" ht="14.25" hidden="1">
      <c r="B727" s="12" t="s">
        <v>261</v>
      </c>
      <c r="C727" s="12"/>
      <c r="D727" s="12"/>
      <c r="E727" s="12"/>
      <c r="F727" s="12"/>
      <c r="G727" s="12"/>
      <c r="H727" s="6">
        <f>689</f>
        <v>689</v>
      </c>
      <c r="I727" s="6"/>
      <c r="J727" s="6"/>
      <c r="O727" s="664"/>
      <c r="P727" s="664"/>
      <c r="R727" s="48"/>
      <c r="S727" s="48"/>
      <c r="T727" s="125"/>
      <c r="U727" s="125"/>
      <c r="V727" s="286"/>
      <c r="W727" s="286"/>
      <c r="X727" s="125"/>
      <c r="Y727" s="125"/>
      <c r="Z727" s="286"/>
      <c r="AA727" s="125"/>
      <c r="AB727" s="125"/>
      <c r="AC727" s="125"/>
      <c r="AD727" s="125"/>
      <c r="AE727" s="125"/>
      <c r="AF727" s="125"/>
      <c r="AG727" s="125"/>
      <c r="AM727" s="125"/>
      <c r="AN727" s="332"/>
      <c r="AO727" s="462"/>
      <c r="AP727" s="462"/>
      <c r="AQ727" s="462"/>
      <c r="AR727" s="462"/>
      <c r="AS727" s="462"/>
      <c r="AT727" s="462"/>
      <c r="AU727" s="462"/>
      <c r="AV727" s="462"/>
      <c r="AW727" s="462"/>
      <c r="AX727" s="462"/>
      <c r="AY727" s="462"/>
    </row>
    <row r="728" spans="2:51" s="168" customFormat="1" ht="14.25" hidden="1">
      <c r="B728" s="12" t="s">
        <v>170</v>
      </c>
      <c r="C728" s="12"/>
      <c r="D728" s="12"/>
      <c r="E728" s="12"/>
      <c r="F728" s="12"/>
      <c r="G728" s="12"/>
      <c r="H728" s="6"/>
      <c r="I728" s="6"/>
      <c r="J728" s="6"/>
      <c r="O728" s="664"/>
      <c r="P728" s="664"/>
      <c r="R728" s="48"/>
      <c r="S728" s="48"/>
      <c r="T728" s="125"/>
      <c r="U728" s="125"/>
      <c r="V728" s="286"/>
      <c r="W728" s="286"/>
      <c r="X728" s="125"/>
      <c r="Y728" s="125"/>
      <c r="Z728" s="286"/>
      <c r="AA728" s="125"/>
      <c r="AB728" s="125"/>
      <c r="AC728" s="125"/>
      <c r="AD728" s="125"/>
      <c r="AE728" s="125"/>
      <c r="AF728" s="125"/>
      <c r="AG728" s="125"/>
      <c r="AM728" s="125"/>
      <c r="AN728" s="332"/>
      <c r="AO728" s="462"/>
      <c r="AP728" s="462"/>
      <c r="AQ728" s="462"/>
      <c r="AR728" s="462"/>
      <c r="AS728" s="462"/>
      <c r="AT728" s="462"/>
      <c r="AU728" s="462"/>
      <c r="AV728" s="462"/>
      <c r="AW728" s="462"/>
      <c r="AX728" s="462"/>
      <c r="AY728" s="462"/>
    </row>
    <row r="729" spans="2:51" s="168" customFormat="1" ht="14.25" hidden="1">
      <c r="B729" s="12" t="s">
        <v>171</v>
      </c>
      <c r="C729" s="12"/>
      <c r="D729" s="12"/>
      <c r="E729" s="12"/>
      <c r="F729" s="12"/>
      <c r="G729" s="12"/>
      <c r="H729" s="6">
        <v>420261.37</v>
      </c>
      <c r="I729" s="6"/>
      <c r="J729" s="6"/>
      <c r="O729" s="664"/>
      <c r="P729" s="664"/>
      <c r="R729" s="48"/>
      <c r="S729" s="48"/>
      <c r="T729" s="125"/>
      <c r="U729" s="125"/>
      <c r="V729" s="286"/>
      <c r="W729" s="286"/>
      <c r="X729" s="125"/>
      <c r="Y729" s="125"/>
      <c r="Z729" s="286"/>
      <c r="AA729" s="125"/>
      <c r="AB729" s="125"/>
      <c r="AC729" s="125"/>
      <c r="AD729" s="125"/>
      <c r="AE729" s="125"/>
      <c r="AF729" s="125"/>
      <c r="AG729" s="125"/>
      <c r="AM729" s="125"/>
      <c r="AN729" s="332"/>
      <c r="AO729" s="462"/>
      <c r="AP729" s="462"/>
      <c r="AQ729" s="462"/>
      <c r="AR729" s="462"/>
      <c r="AS729" s="462"/>
      <c r="AT729" s="462"/>
      <c r="AU729" s="462"/>
      <c r="AV729" s="462"/>
      <c r="AW729" s="462"/>
      <c r="AX729" s="462"/>
      <c r="AY729" s="462"/>
    </row>
    <row r="730" spans="2:51" s="168" customFormat="1" ht="18" thickBot="1">
      <c r="B730" s="72" t="s">
        <v>629</v>
      </c>
      <c r="C730" s="12"/>
      <c r="D730" s="12"/>
      <c r="E730" s="12"/>
      <c r="F730" s="12"/>
      <c r="G730" s="12"/>
      <c r="H730" s="44">
        <f>SUM(H716:H729)</f>
        <v>8024112.32</v>
      </c>
      <c r="I730" s="136"/>
      <c r="J730" s="136"/>
      <c r="O730" s="688">
        <f>SUM(O719:O723)</f>
        <v>206216.16999999998</v>
      </c>
      <c r="P730" s="688">
        <f>SUM(P719:P723)</f>
        <v>134390.79</v>
      </c>
      <c r="Q730" s="206">
        <f>SUM(Q719:Q723)</f>
        <v>1080852.98</v>
      </c>
      <c r="R730" s="206">
        <f>SUM(R719:R723)</f>
        <v>61285.7</v>
      </c>
      <c r="S730" s="206">
        <f>SUM(S719:S723)</f>
        <v>834356.1299999999</v>
      </c>
      <c r="T730" s="125"/>
      <c r="U730" s="125"/>
      <c r="V730" s="321">
        <f>SUM(V719:V723)</f>
        <v>595867.11</v>
      </c>
      <c r="W730" s="321">
        <f>SUM(W716:W729)</f>
        <v>1125412.42</v>
      </c>
      <c r="X730" s="125"/>
      <c r="Y730" s="125"/>
      <c r="Z730" s="321">
        <f>SUM(Z716:Z729)</f>
        <v>98843.66</v>
      </c>
      <c r="AA730" s="125"/>
      <c r="AB730" s="125"/>
      <c r="AC730" s="125"/>
      <c r="AD730" s="125"/>
      <c r="AE730" s="125"/>
      <c r="AF730" s="125"/>
      <c r="AG730" s="125"/>
      <c r="AM730" s="125"/>
      <c r="AN730" s="332"/>
      <c r="AO730" s="285"/>
      <c r="AP730" s="462"/>
      <c r="AQ730" s="462"/>
      <c r="AR730" s="462"/>
      <c r="AS730" s="462"/>
      <c r="AT730" s="462"/>
      <c r="AU730" s="462"/>
      <c r="AV730" s="462"/>
      <c r="AW730" s="462"/>
      <c r="AX730" s="462"/>
      <c r="AY730" s="462"/>
    </row>
    <row r="731" spans="15:26" ht="15" thickTop="1">
      <c r="O731" s="664"/>
      <c r="P731" s="664"/>
      <c r="Z731" s="286"/>
    </row>
    <row r="732" ht="14.25">
      <c r="Z732" s="286"/>
    </row>
    <row r="733" ht="14.25">
      <c r="Z733" s="286"/>
    </row>
    <row r="734" spans="2:26" ht="18">
      <c r="B734" s="534" t="s">
        <v>1217</v>
      </c>
      <c r="C734" s="455"/>
      <c r="D734" s="455"/>
      <c r="E734" s="455"/>
      <c r="F734" s="455"/>
      <c r="G734" s="57">
        <v>2023</v>
      </c>
      <c r="H734" s="57">
        <v>2022</v>
      </c>
      <c r="O734" s="32">
        <v>2023</v>
      </c>
      <c r="P734" s="32">
        <v>2022</v>
      </c>
      <c r="Z734" s="286"/>
    </row>
    <row r="735" spans="2:26" ht="18">
      <c r="B735" s="534" t="s">
        <v>1001</v>
      </c>
      <c r="C735" s="455"/>
      <c r="D735" s="455"/>
      <c r="E735" s="455"/>
      <c r="F735" s="455"/>
      <c r="G735" s="455"/>
      <c r="H735" s="455"/>
      <c r="Z735" s="286"/>
    </row>
    <row r="736" spans="2:26" ht="15">
      <c r="B736" s="9" t="s">
        <v>707</v>
      </c>
      <c r="C736" s="455"/>
      <c r="D736" s="455"/>
      <c r="E736" s="455"/>
      <c r="F736" s="455"/>
      <c r="G736" s="526">
        <f>88882164.27+18679612.15+10406755.16-4224239.81-612417.37+38265.33-21664</f>
        <v>113148475.72999997</v>
      </c>
      <c r="H736" s="526">
        <v>113096106</v>
      </c>
      <c r="O736" s="658">
        <v>113148476</v>
      </c>
      <c r="P736" s="658">
        <v>113148476</v>
      </c>
      <c r="Z736" s="286"/>
    </row>
    <row r="737" spans="2:16" ht="15">
      <c r="B737" s="9" t="s">
        <v>1002</v>
      </c>
      <c r="C737" s="455"/>
      <c r="D737" s="455"/>
      <c r="E737" s="455"/>
      <c r="F737" s="455"/>
      <c r="G737" s="526">
        <v>38044525</v>
      </c>
      <c r="H737" s="526">
        <v>42581526</v>
      </c>
      <c r="O737" s="658">
        <f>+'Estado de Situación Financiera '!D50</f>
        <v>-5241806.149999967</v>
      </c>
      <c r="P737" s="658">
        <v>17621077</v>
      </c>
    </row>
    <row r="738" spans="2:16" ht="15">
      <c r="B738" s="9" t="s">
        <v>1003</v>
      </c>
      <c r="C738" s="455"/>
      <c r="D738" s="455"/>
      <c r="E738" s="455"/>
      <c r="F738" s="455"/>
      <c r="G738" s="526">
        <f>340047957.17-38265.33+21664</f>
        <v>340031355.84000003</v>
      </c>
      <c r="H738" s="526">
        <v>322426880</v>
      </c>
      <c r="O738" s="658">
        <f>340047957.17+88882164.27+18721869.33+10406755.16-4224239.81-612417.37-113148476</f>
        <v>340073612.75</v>
      </c>
      <c r="P738" s="658">
        <f>322426880-38265.33</f>
        <v>322388614.67</v>
      </c>
    </row>
    <row r="739" spans="2:16" ht="18" thickBot="1">
      <c r="B739" s="534" t="s">
        <v>1004</v>
      </c>
      <c r="C739" s="455"/>
      <c r="D739" s="455"/>
      <c r="E739" s="455"/>
      <c r="F739" s="455"/>
      <c r="G739" s="535">
        <f>SUM(G736:G738)</f>
        <v>491224356.57</v>
      </c>
      <c r="H739" s="535">
        <f>SUM(H736:H738)</f>
        <v>478104512</v>
      </c>
      <c r="O739" s="696">
        <f>SUM(O736:O738)</f>
        <v>447980282.6</v>
      </c>
      <c r="P739" s="696">
        <f>SUM(P736:P738)</f>
        <v>453158167.67</v>
      </c>
    </row>
    <row r="740" spans="2:8" ht="15.75" thickTop="1">
      <c r="B740" s="455"/>
      <c r="C740" s="455"/>
      <c r="D740" s="455"/>
      <c r="E740" s="455"/>
      <c r="F740" s="455"/>
      <c r="G740" s="536"/>
      <c r="H740" s="536"/>
    </row>
    <row r="741" spans="2:8" ht="15">
      <c r="B741" s="9" t="s">
        <v>1056</v>
      </c>
      <c r="C741" s="455"/>
      <c r="D741" s="455"/>
      <c r="E741" s="455"/>
      <c r="F741" s="455"/>
      <c r="G741" s="455"/>
      <c r="H741" s="455"/>
    </row>
    <row r="742" spans="2:8" ht="15">
      <c r="B742" s="9" t="s">
        <v>1057</v>
      </c>
      <c r="C742" s="455"/>
      <c r="D742" s="455"/>
      <c r="E742" s="455"/>
      <c r="F742" s="455"/>
      <c r="G742" s="455"/>
      <c r="H742" s="455"/>
    </row>
    <row r="743" spans="2:8" ht="15">
      <c r="B743" s="9" t="s">
        <v>1058</v>
      </c>
      <c r="C743" s="455"/>
      <c r="D743" s="455"/>
      <c r="E743" s="455"/>
      <c r="F743" s="455"/>
      <c r="G743" s="455"/>
      <c r="H743" s="455"/>
    </row>
    <row r="744" spans="2:8" ht="14.25">
      <c r="B744" s="455"/>
      <c r="C744" s="455"/>
      <c r="D744" s="455"/>
      <c r="E744" s="455"/>
      <c r="F744" s="455"/>
      <c r="G744" s="455"/>
      <c r="H744" s="455"/>
    </row>
  </sheetData>
  <sheetProtection/>
  <mergeCells count="6">
    <mergeCell ref="A7:T7"/>
    <mergeCell ref="A8:T8"/>
    <mergeCell ref="P388:R388"/>
    <mergeCell ref="O12:P12"/>
    <mergeCell ref="R713:S713"/>
    <mergeCell ref="R714:S714"/>
  </mergeCells>
  <printOptions/>
  <pageMargins left="1.46" right="0.31496062992125984" top="0.35433070866141736" bottom="0.7480314960629921" header="0.31496062992125984" footer="0.31496062992125984"/>
  <pageSetup horizontalDpi="600" verticalDpi="600" orientation="portrait" scale="44" r:id="rId4"/>
  <headerFooter>
    <oddFooter>&amp;C&amp;A&amp;RPágina &amp;P</oddFooter>
  </headerFooter>
  <rowBreaks count="8" manualBreakCount="8">
    <brk id="101" max="38" man="1"/>
    <brk id="160" max="38" man="1"/>
    <brk id="223" max="38" man="1"/>
    <brk id="261" max="38" man="1"/>
    <brk id="340" max="38" man="1"/>
    <brk id="409" max="38" man="1"/>
    <brk id="455" max="38" man="1"/>
    <brk id="522" max="38" man="1"/>
  </rowBreaks>
  <ignoredErrors>
    <ignoredError sqref="V257 R277:S277 R324:S324 V324 S349 R190 R240 R336:S336 R362:S362"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6:DQ565"/>
  <sheetViews>
    <sheetView zoomScale="90" zoomScaleNormal="90" workbookViewId="0" topLeftCell="A123">
      <selection activeCell="AD178" sqref="AD178"/>
    </sheetView>
  </sheetViews>
  <sheetFormatPr defaultColWidth="11.421875" defaultRowHeight="15"/>
  <cols>
    <col min="1" max="1" width="7.140625" style="0" customWidth="1"/>
    <col min="2" max="2" width="14.140625" style="0" bestFit="1" customWidth="1"/>
    <col min="3" max="3" width="44.57421875" style="0" customWidth="1"/>
    <col min="4" max="6" width="0" style="0" hidden="1" customWidth="1"/>
    <col min="7" max="7" width="3.8515625" style="0" customWidth="1"/>
    <col min="8" max="8" width="20.421875" style="455" customWidth="1"/>
    <col min="9" max="9" width="5.28125" style="455" customWidth="1"/>
    <col min="10" max="10" width="22.57421875" style="4" customWidth="1"/>
    <col min="11" max="11" width="31.28125" style="4" hidden="1" customWidth="1"/>
    <col min="12" max="12" width="27.140625" style="0" hidden="1" customWidth="1"/>
    <col min="13" max="13" width="22.8515625" style="0" hidden="1" customWidth="1"/>
    <col min="14" max="14" width="31.00390625" style="0" hidden="1" customWidth="1"/>
    <col min="15" max="15" width="21.7109375" style="0" hidden="1" customWidth="1"/>
    <col min="16" max="16" width="24.57421875" style="0" hidden="1" customWidth="1"/>
    <col min="17" max="17" width="17.421875" style="0" hidden="1" customWidth="1"/>
    <col min="18" max="18" width="22.57421875" style="0" hidden="1" customWidth="1"/>
    <col min="19" max="19" width="11.57421875" style="169" hidden="1" customWidth="1"/>
    <col min="20" max="20" width="15.7109375" style="169" hidden="1" customWidth="1"/>
    <col min="21" max="21" width="14.28125" style="169" hidden="1" customWidth="1"/>
    <col min="22" max="23" width="23.00390625" style="169" hidden="1" customWidth="1"/>
    <col min="24" max="24" width="26.57421875" style="169" hidden="1" customWidth="1"/>
    <col min="25" max="25" width="21.421875" style="169" hidden="1" customWidth="1"/>
    <col min="26" max="29" width="11.57421875" style="169" hidden="1" customWidth="1"/>
    <col min="30" max="41" width="11.57421875" style="169" customWidth="1"/>
    <col min="42" max="42" width="17.140625" style="169" customWidth="1"/>
    <col min="43" max="46" width="11.57421875" style="169" customWidth="1"/>
    <col min="47" max="47" width="16.57421875" style="169" customWidth="1"/>
    <col min="48" max="48" width="15.00390625" style="169" customWidth="1"/>
    <col min="49" max="53" width="11.57421875" style="168" customWidth="1"/>
    <col min="54" max="99" width="11.421875" style="0" customWidth="1"/>
    <col min="100" max="121" width="11.421875" style="456" customWidth="1"/>
  </cols>
  <sheetData>
    <row r="1" ht="15"/>
    <row r="2" ht="15"/>
    <row r="3" ht="15"/>
    <row r="4" ht="15"/>
    <row r="5" ht="15"/>
    <row r="6" spans="1:18" ht="19.5" customHeight="1">
      <c r="A6" s="43" t="s">
        <v>937</v>
      </c>
      <c r="B6" s="43"/>
      <c r="C6" s="43"/>
      <c r="D6" s="43"/>
      <c r="E6" s="43"/>
      <c r="F6" s="43"/>
      <c r="G6" s="43"/>
      <c r="H6" s="43"/>
      <c r="I6" s="43"/>
      <c r="J6" s="43"/>
      <c r="K6" s="43"/>
      <c r="L6" s="43"/>
      <c r="M6" s="43"/>
      <c r="N6" s="43"/>
      <c r="O6" s="43"/>
      <c r="P6" s="43"/>
      <c r="Q6" s="43"/>
      <c r="R6" s="43"/>
    </row>
    <row r="7" spans="2:14" ht="66.75" customHeight="1">
      <c r="B7" s="31"/>
      <c r="C7" s="31"/>
      <c r="D7" s="31"/>
      <c r="E7" s="31"/>
      <c r="F7" s="31"/>
      <c r="G7" s="31"/>
      <c r="H7" s="31"/>
      <c r="I7" s="31"/>
      <c r="J7" s="31"/>
      <c r="K7" s="31"/>
      <c r="L7" s="31"/>
      <c r="M7" s="31"/>
      <c r="N7" s="31"/>
    </row>
    <row r="8" spans="2:14" ht="15">
      <c r="B8" s="31"/>
      <c r="C8" s="31"/>
      <c r="D8" s="31"/>
      <c r="E8" s="31"/>
      <c r="F8" s="31"/>
      <c r="G8" s="31"/>
      <c r="H8" s="31"/>
      <c r="I8" s="31"/>
      <c r="J8" s="31"/>
      <c r="K8" s="31"/>
      <c r="L8" s="31"/>
      <c r="M8" s="31"/>
      <c r="N8" s="31"/>
    </row>
    <row r="9" spans="2:17" ht="20.25">
      <c r="B9" s="514" t="s">
        <v>585</v>
      </c>
      <c r="C9" s="31"/>
      <c r="D9" s="31"/>
      <c r="E9" s="31"/>
      <c r="F9" s="31"/>
      <c r="G9" s="31"/>
      <c r="H9" s="58" t="s">
        <v>495</v>
      </c>
      <c r="I9" s="571"/>
      <c r="J9" s="58" t="s">
        <v>495</v>
      </c>
      <c r="K9" s="58" t="s">
        <v>495</v>
      </c>
      <c r="L9" s="58" t="s">
        <v>495</v>
      </c>
      <c r="M9" s="58" t="s">
        <v>495</v>
      </c>
      <c r="N9" s="819" t="s">
        <v>525</v>
      </c>
      <c r="O9" s="819"/>
      <c r="P9" s="820" t="s">
        <v>525</v>
      </c>
      <c r="Q9" s="820"/>
    </row>
    <row r="10" spans="2:25" ht="18.75">
      <c r="B10" s="31"/>
      <c r="C10" s="637"/>
      <c r="D10" s="31"/>
      <c r="E10" s="31"/>
      <c r="F10" s="31"/>
      <c r="G10" s="31"/>
      <c r="H10" s="32">
        <v>2023</v>
      </c>
      <c r="I10" s="32"/>
      <c r="J10" s="32">
        <v>2022</v>
      </c>
      <c r="K10" s="32">
        <v>2021</v>
      </c>
      <c r="L10" s="32">
        <v>2020</v>
      </c>
      <c r="M10" s="32">
        <v>2019</v>
      </c>
      <c r="N10" s="32">
        <v>2018</v>
      </c>
      <c r="O10" s="32" t="s">
        <v>495</v>
      </c>
      <c r="P10" s="32">
        <v>2017</v>
      </c>
      <c r="Q10" s="57">
        <v>2016</v>
      </c>
      <c r="V10" s="822" t="s">
        <v>888</v>
      </c>
      <c r="W10" s="822"/>
      <c r="X10" s="822"/>
      <c r="Y10" s="822"/>
    </row>
    <row r="11" spans="2:42" ht="18" customHeight="1">
      <c r="B11" s="514" t="s">
        <v>275</v>
      </c>
      <c r="C11" s="31"/>
      <c r="D11" s="31"/>
      <c r="E11" s="31"/>
      <c r="F11" s="31"/>
      <c r="G11" s="31"/>
      <c r="H11" s="31"/>
      <c r="I11" s="31"/>
      <c r="J11" s="31"/>
      <c r="K11" s="31"/>
      <c r="L11" s="31"/>
      <c r="M11" s="31"/>
      <c r="N11" s="31"/>
      <c r="O11" s="17"/>
      <c r="P11" s="17"/>
      <c r="T11" s="503" t="s">
        <v>895</v>
      </c>
      <c r="U11" s="503" t="s">
        <v>892</v>
      </c>
      <c r="V11" s="504" t="s">
        <v>890</v>
      </c>
      <c r="W11" s="505" t="s">
        <v>889</v>
      </c>
      <c r="X11" s="504" t="s">
        <v>893</v>
      </c>
      <c r="Y11" s="169" t="s">
        <v>892</v>
      </c>
      <c r="Z11" s="504" t="s">
        <v>891</v>
      </c>
      <c r="AP11" s="628" t="s">
        <v>895</v>
      </c>
    </row>
    <row r="12" spans="1:49" ht="18.75">
      <c r="A12" t="s">
        <v>96</v>
      </c>
      <c r="B12" s="509" t="s">
        <v>276</v>
      </c>
      <c r="C12" s="387"/>
      <c r="D12" s="412"/>
      <c r="E12" s="412"/>
      <c r="F12" s="412"/>
      <c r="G12" s="387"/>
      <c r="H12" s="735">
        <v>278411750.02</v>
      </c>
      <c r="I12" s="735"/>
      <c r="J12" s="735">
        <v>250154055.84</v>
      </c>
      <c r="K12" s="78">
        <v>222515203.07</v>
      </c>
      <c r="L12" s="78">
        <v>194739423.71</v>
      </c>
      <c r="M12" s="78">
        <v>184215575.61</v>
      </c>
      <c r="N12" s="17">
        <v>158019298.17</v>
      </c>
      <c r="O12" s="17">
        <v>148832728.73</v>
      </c>
      <c r="P12" s="17">
        <v>154112913.6</v>
      </c>
      <c r="Q12" s="17">
        <v>146698355.68</v>
      </c>
      <c r="R12" s="17"/>
      <c r="T12" s="506">
        <v>250310212.20000002</v>
      </c>
      <c r="U12" s="506">
        <f>T12-J12</f>
        <v>156156.3600000143</v>
      </c>
      <c r="V12" s="506">
        <f>20000+16000+5833.33+44441.83+6679</f>
        <v>92954.16</v>
      </c>
      <c r="W12" s="506">
        <f>35000+28202</f>
        <v>63202</v>
      </c>
      <c r="X12" s="506">
        <f>+V12+W12</f>
        <v>156156.16</v>
      </c>
      <c r="Y12" s="506">
        <f>+U12-V12-W12</f>
        <v>0.2000000143016223</v>
      </c>
      <c r="Z12" s="506">
        <v>8066.67</v>
      </c>
      <c r="AP12" s="635">
        <v>278442908.35</v>
      </c>
      <c r="AU12" s="506">
        <f>H12-AP12</f>
        <v>-31158.330000042915</v>
      </c>
      <c r="AW12" s="98" t="s">
        <v>1225</v>
      </c>
    </row>
    <row r="13" spans="2:47" ht="18.75">
      <c r="B13" s="510" t="s">
        <v>664</v>
      </c>
      <c r="C13" s="328"/>
      <c r="D13" s="328"/>
      <c r="E13" s="328"/>
      <c r="F13" s="328"/>
      <c r="G13" s="328"/>
      <c r="H13" s="735">
        <v>10998419.2</v>
      </c>
      <c r="I13" s="736"/>
      <c r="J13" s="736">
        <v>10924779.2</v>
      </c>
      <c r="K13" s="78">
        <v>10187595.36</v>
      </c>
      <c r="L13" s="78">
        <v>3230853.18</v>
      </c>
      <c r="M13" s="78">
        <v>3043654.42</v>
      </c>
      <c r="N13" s="17">
        <v>10101414.94</v>
      </c>
      <c r="O13" s="17">
        <v>2170800.65</v>
      </c>
      <c r="P13" s="17">
        <v>2602374.8</v>
      </c>
      <c r="Q13" s="17">
        <v>2221315</v>
      </c>
      <c r="R13" s="17"/>
      <c r="T13" s="506"/>
      <c r="AP13" s="635">
        <v>10998419.199999997</v>
      </c>
      <c r="AU13" s="330">
        <f>H13-AP13</f>
        <v>0</v>
      </c>
    </row>
    <row r="14" spans="2:47" ht="18" hidden="1">
      <c r="B14" s="510" t="s">
        <v>277</v>
      </c>
      <c r="C14" s="328"/>
      <c r="D14" s="328"/>
      <c r="E14" s="328"/>
      <c r="F14" s="328"/>
      <c r="G14" s="328"/>
      <c r="H14" s="735"/>
      <c r="I14" s="736"/>
      <c r="J14" s="736"/>
      <c r="K14" s="31"/>
      <c r="L14" s="78"/>
      <c r="M14" s="78"/>
      <c r="N14" s="17"/>
      <c r="O14" s="17"/>
      <c r="P14" s="17"/>
      <c r="Q14" s="17"/>
      <c r="R14" s="17"/>
      <c r="T14" s="506"/>
      <c r="AP14" s="635"/>
      <c r="AU14" s="330">
        <f aca="true" t="shared" si="0" ref="AU14:AU46">H14-AP14</f>
        <v>0</v>
      </c>
    </row>
    <row r="15" spans="2:47" ht="18" hidden="1">
      <c r="B15" s="510" t="s">
        <v>278</v>
      </c>
      <c r="C15" s="328"/>
      <c r="D15" s="328"/>
      <c r="E15" s="328"/>
      <c r="F15" s="328"/>
      <c r="G15" s="328"/>
      <c r="H15" s="735"/>
      <c r="I15" s="736"/>
      <c r="J15" s="736"/>
      <c r="K15" s="31"/>
      <c r="L15" s="78"/>
      <c r="M15" s="78">
        <v>5076580</v>
      </c>
      <c r="N15" s="17">
        <v>4453375</v>
      </c>
      <c r="O15" s="17">
        <v>2091775</v>
      </c>
      <c r="P15" s="17">
        <v>2583500</v>
      </c>
      <c r="Q15" s="17">
        <v>3362360</v>
      </c>
      <c r="R15" s="17"/>
      <c r="T15" s="506"/>
      <c r="AP15" s="635"/>
      <c r="AU15" s="330">
        <f t="shared" si="0"/>
        <v>0</v>
      </c>
    </row>
    <row r="16" spans="2:47" ht="18.75">
      <c r="B16" s="510" t="s">
        <v>279</v>
      </c>
      <c r="C16" s="328"/>
      <c r="D16" s="328"/>
      <c r="E16" s="328"/>
      <c r="F16" s="328"/>
      <c r="G16" s="328"/>
      <c r="H16" s="735"/>
      <c r="I16" s="736"/>
      <c r="J16" s="736">
        <v>40000</v>
      </c>
      <c r="K16" s="78">
        <v>131430.75</v>
      </c>
      <c r="L16" s="78">
        <v>310831.67</v>
      </c>
      <c r="M16" s="78">
        <v>83689.74</v>
      </c>
      <c r="N16" s="17">
        <v>43420</v>
      </c>
      <c r="O16" s="17">
        <v>223947.86</v>
      </c>
      <c r="P16" s="17">
        <v>271423.28</v>
      </c>
      <c r="Q16" s="17">
        <v>174204.8</v>
      </c>
      <c r="R16" s="17"/>
      <c r="T16" s="506"/>
      <c r="AP16" s="635"/>
      <c r="AU16" s="330">
        <f t="shared" si="0"/>
        <v>0</v>
      </c>
    </row>
    <row r="17" spans="2:47" ht="19.5" customHeight="1" hidden="1">
      <c r="B17" s="510" t="s">
        <v>280</v>
      </c>
      <c r="C17" s="328"/>
      <c r="D17" s="328"/>
      <c r="E17" s="328"/>
      <c r="F17" s="328"/>
      <c r="G17" s="328"/>
      <c r="H17" s="735"/>
      <c r="I17" s="736"/>
      <c r="J17" s="736"/>
      <c r="K17" s="78"/>
      <c r="L17" s="78"/>
      <c r="M17" s="78"/>
      <c r="N17" s="17"/>
      <c r="O17" s="17"/>
      <c r="P17" s="17"/>
      <c r="Q17" s="17"/>
      <c r="R17" s="17"/>
      <c r="T17" s="506"/>
      <c r="AP17" s="635"/>
      <c r="AU17" s="330">
        <f t="shared" si="0"/>
        <v>0</v>
      </c>
    </row>
    <row r="18" spans="2:47" ht="18" hidden="1">
      <c r="B18" s="510" t="s">
        <v>281</v>
      </c>
      <c r="C18" s="328"/>
      <c r="D18" s="328"/>
      <c r="E18" s="328"/>
      <c r="F18" s="328"/>
      <c r="G18" s="328"/>
      <c r="H18" s="735"/>
      <c r="I18" s="736"/>
      <c r="J18" s="736"/>
      <c r="K18" s="78"/>
      <c r="L18" s="78"/>
      <c r="M18" s="78"/>
      <c r="N18" s="17"/>
      <c r="O18" s="17"/>
      <c r="P18" s="17"/>
      <c r="Q18" s="17"/>
      <c r="R18" s="17"/>
      <c r="T18" s="506"/>
      <c r="AP18" s="635"/>
      <c r="AU18" s="330">
        <f t="shared" si="0"/>
        <v>0</v>
      </c>
    </row>
    <row r="19" spans="2:47" ht="18" hidden="1">
      <c r="B19" s="510" t="s">
        <v>282</v>
      </c>
      <c r="C19" s="328"/>
      <c r="D19" s="328"/>
      <c r="E19" s="328"/>
      <c r="F19" s="328"/>
      <c r="G19" s="328"/>
      <c r="H19" s="735"/>
      <c r="I19" s="736"/>
      <c r="J19" s="736"/>
      <c r="K19" s="78"/>
      <c r="L19" s="78"/>
      <c r="M19" s="78"/>
      <c r="N19" s="17"/>
      <c r="O19" s="17"/>
      <c r="P19" s="17"/>
      <c r="Q19" s="17"/>
      <c r="R19" s="17"/>
      <c r="T19" s="506"/>
      <c r="AP19" s="635"/>
      <c r="AU19" s="330">
        <f t="shared" si="0"/>
        <v>0</v>
      </c>
    </row>
    <row r="20" spans="2:47" ht="18" hidden="1">
      <c r="B20" s="510" t="s">
        <v>564</v>
      </c>
      <c r="C20" s="328"/>
      <c r="D20" s="328"/>
      <c r="E20" s="328"/>
      <c r="F20" s="328"/>
      <c r="G20" s="328"/>
      <c r="H20" s="735"/>
      <c r="I20" s="736"/>
      <c r="J20" s="736"/>
      <c r="K20" s="78">
        <v>1108000</v>
      </c>
      <c r="L20" s="78">
        <v>1336576</v>
      </c>
      <c r="M20" s="78">
        <v>4406454.66</v>
      </c>
      <c r="N20" s="17">
        <v>200376</v>
      </c>
      <c r="O20" s="17"/>
      <c r="P20" s="17">
        <v>0</v>
      </c>
      <c r="Q20" s="17"/>
      <c r="R20" s="17"/>
      <c r="T20" s="506"/>
      <c r="AP20" s="635"/>
      <c r="AU20" s="330">
        <f t="shared" si="0"/>
        <v>0</v>
      </c>
    </row>
    <row r="21" spans="2:47" ht="18.75">
      <c r="B21" s="510" t="s">
        <v>590</v>
      </c>
      <c r="C21" s="328"/>
      <c r="D21" s="328"/>
      <c r="E21" s="328"/>
      <c r="F21" s="328"/>
      <c r="G21" s="328"/>
      <c r="H21" s="735"/>
      <c r="I21" s="736"/>
      <c r="J21" s="736">
        <v>120000</v>
      </c>
      <c r="K21" s="78">
        <v>909283.8</v>
      </c>
      <c r="L21" s="78">
        <v>1698567.6</v>
      </c>
      <c r="M21" s="78">
        <v>1818567.6</v>
      </c>
      <c r="N21" s="17"/>
      <c r="O21" s="17"/>
      <c r="P21" s="17"/>
      <c r="Q21" s="17"/>
      <c r="R21" s="17"/>
      <c r="T21" s="506"/>
      <c r="AP21" s="635"/>
      <c r="AU21" s="330">
        <f t="shared" si="0"/>
        <v>0</v>
      </c>
    </row>
    <row r="22" spans="2:121" s="4" customFormat="1" ht="18.75">
      <c r="B22" s="510" t="s">
        <v>828</v>
      </c>
      <c r="C22" s="328"/>
      <c r="D22" s="328"/>
      <c r="E22" s="328"/>
      <c r="F22" s="328"/>
      <c r="G22" s="328"/>
      <c r="H22" s="735">
        <v>2455193.48</v>
      </c>
      <c r="I22" s="736"/>
      <c r="J22" s="736">
        <v>1200210</v>
      </c>
      <c r="K22" s="78"/>
      <c r="L22" s="78"/>
      <c r="M22" s="78"/>
      <c r="N22" s="17"/>
      <c r="O22" s="17"/>
      <c r="P22" s="17"/>
      <c r="Q22" s="17"/>
      <c r="R22" s="17"/>
      <c r="S22" s="169"/>
      <c r="T22" s="506"/>
      <c r="U22" s="169"/>
      <c r="V22" s="169"/>
      <c r="W22" s="169"/>
      <c r="X22" s="169"/>
      <c r="Y22" s="169"/>
      <c r="Z22" s="169"/>
      <c r="AA22" s="169"/>
      <c r="AB22" s="169"/>
      <c r="AC22" s="169"/>
      <c r="AD22" s="169"/>
      <c r="AE22" s="169"/>
      <c r="AF22" s="169"/>
      <c r="AG22" s="169"/>
      <c r="AH22" s="169"/>
      <c r="AI22" s="169"/>
      <c r="AJ22" s="169"/>
      <c r="AK22" s="169"/>
      <c r="AL22" s="169"/>
      <c r="AM22" s="169"/>
      <c r="AN22" s="169"/>
      <c r="AO22" s="169"/>
      <c r="AP22" s="635">
        <v>2455193.48</v>
      </c>
      <c r="AQ22" s="169"/>
      <c r="AR22" s="169"/>
      <c r="AS22" s="169"/>
      <c r="AT22" s="169"/>
      <c r="AU22" s="330">
        <f t="shared" si="0"/>
        <v>0</v>
      </c>
      <c r="AV22" s="169"/>
      <c r="AW22" s="168"/>
      <c r="AX22" s="168"/>
      <c r="AY22" s="168"/>
      <c r="AZ22" s="168"/>
      <c r="BA22" s="168"/>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row>
    <row r="23" spans="2:121" s="4" customFormat="1" ht="18" hidden="1">
      <c r="B23" s="510" t="s">
        <v>665</v>
      </c>
      <c r="C23" s="328"/>
      <c r="D23" s="328"/>
      <c r="E23" s="328"/>
      <c r="F23" s="328"/>
      <c r="G23" s="328"/>
      <c r="H23" s="735"/>
      <c r="I23" s="735"/>
      <c r="J23" s="736"/>
      <c r="K23" s="78">
        <v>1104250.97</v>
      </c>
      <c r="L23" s="78"/>
      <c r="M23" s="78"/>
      <c r="N23" s="17"/>
      <c r="O23" s="17"/>
      <c r="P23" s="17"/>
      <c r="Q23" s="17"/>
      <c r="R23" s="17"/>
      <c r="S23" s="169"/>
      <c r="T23" s="506"/>
      <c r="U23" s="169"/>
      <c r="V23" s="169"/>
      <c r="W23" s="169"/>
      <c r="X23" s="169"/>
      <c r="Y23" s="169"/>
      <c r="Z23" s="169"/>
      <c r="AA23" s="169"/>
      <c r="AB23" s="169"/>
      <c r="AC23" s="169"/>
      <c r="AD23" s="169"/>
      <c r="AE23" s="169"/>
      <c r="AF23" s="169"/>
      <c r="AG23" s="169"/>
      <c r="AH23" s="169"/>
      <c r="AI23" s="169"/>
      <c r="AJ23" s="169"/>
      <c r="AK23" s="169"/>
      <c r="AL23" s="169"/>
      <c r="AM23" s="169"/>
      <c r="AN23" s="169"/>
      <c r="AO23" s="169"/>
      <c r="AP23" s="635"/>
      <c r="AQ23" s="169"/>
      <c r="AR23" s="169"/>
      <c r="AS23" s="169"/>
      <c r="AT23" s="169"/>
      <c r="AU23" s="330">
        <f t="shared" si="0"/>
        <v>0</v>
      </c>
      <c r="AV23" s="169"/>
      <c r="AW23" s="168"/>
      <c r="AX23" s="168"/>
      <c r="AY23" s="168"/>
      <c r="AZ23" s="168"/>
      <c r="BA23" s="168"/>
      <c r="CV23" s="456"/>
      <c r="CW23" s="456"/>
      <c r="CX23" s="456"/>
      <c r="CY23" s="456"/>
      <c r="CZ23" s="456"/>
      <c r="DA23" s="456"/>
      <c r="DB23" s="456"/>
      <c r="DC23" s="456"/>
      <c r="DD23" s="456"/>
      <c r="DE23" s="456"/>
      <c r="DF23" s="456"/>
      <c r="DG23" s="456"/>
      <c r="DH23" s="456"/>
      <c r="DI23" s="456"/>
      <c r="DJ23" s="456"/>
      <c r="DK23" s="456"/>
      <c r="DL23" s="456"/>
      <c r="DM23" s="456"/>
      <c r="DN23" s="456"/>
      <c r="DO23" s="456"/>
      <c r="DP23" s="456"/>
      <c r="DQ23" s="456"/>
    </row>
    <row r="24" spans="2:47" ht="18" hidden="1">
      <c r="B24" s="510" t="s">
        <v>504</v>
      </c>
      <c r="C24" s="328"/>
      <c r="D24" s="328"/>
      <c r="E24" s="328"/>
      <c r="F24" s="328"/>
      <c r="G24" s="328"/>
      <c r="H24" s="735"/>
      <c r="I24" s="736"/>
      <c r="J24" s="736"/>
      <c r="K24" s="78"/>
      <c r="L24" s="78">
        <v>163059.29</v>
      </c>
      <c r="M24" s="78">
        <v>113224.97</v>
      </c>
      <c r="N24" s="17">
        <v>67134.75</v>
      </c>
      <c r="O24" s="17"/>
      <c r="P24" s="17">
        <v>48810.27</v>
      </c>
      <c r="Q24" s="17">
        <v>71337.68</v>
      </c>
      <c r="R24" s="17"/>
      <c r="T24" s="506"/>
      <c r="AP24" s="635"/>
      <c r="AU24" s="330">
        <f t="shared" si="0"/>
        <v>0</v>
      </c>
    </row>
    <row r="25" spans="2:47" ht="18.75">
      <c r="B25" s="510" t="s">
        <v>283</v>
      </c>
      <c r="C25" s="328"/>
      <c r="D25" s="328"/>
      <c r="E25" s="328"/>
      <c r="F25" s="328"/>
      <c r="G25" s="328"/>
      <c r="H25" s="735">
        <v>157648.07</v>
      </c>
      <c r="I25" s="736"/>
      <c r="J25" s="736">
        <v>264125.65</v>
      </c>
      <c r="K25" s="78">
        <v>6512.53</v>
      </c>
      <c r="L25" s="78">
        <v>32245.15</v>
      </c>
      <c r="M25" s="78">
        <v>413649.52</v>
      </c>
      <c r="N25" s="17">
        <v>451309.96</v>
      </c>
      <c r="O25" s="17">
        <v>89062.98</v>
      </c>
      <c r="P25" s="17">
        <v>53551.61</v>
      </c>
      <c r="Q25" s="17"/>
      <c r="R25" s="17"/>
      <c r="T25" s="506"/>
      <c r="AP25" s="635">
        <v>157648.07</v>
      </c>
      <c r="AU25" s="330">
        <f t="shared" si="0"/>
        <v>0</v>
      </c>
    </row>
    <row r="26" spans="1:121" s="326" customFormat="1" ht="18.75">
      <c r="A26" s="329"/>
      <c r="B26" s="510" t="s">
        <v>284</v>
      </c>
      <c r="C26" s="328"/>
      <c r="D26" s="328"/>
      <c r="E26" s="328"/>
      <c r="F26" s="328"/>
      <c r="G26" s="328"/>
      <c r="H26" s="735">
        <v>306000</v>
      </c>
      <c r="I26" s="736"/>
      <c r="J26" s="736">
        <v>378000</v>
      </c>
      <c r="K26" s="330">
        <v>342000</v>
      </c>
      <c r="L26" s="330">
        <v>445500</v>
      </c>
      <c r="M26" s="330">
        <v>234000</v>
      </c>
      <c r="N26" s="331"/>
      <c r="O26" s="331"/>
      <c r="P26" s="331"/>
      <c r="Q26" s="331"/>
      <c r="R26" s="331"/>
      <c r="S26" s="169"/>
      <c r="T26" s="506"/>
      <c r="U26" s="169"/>
      <c r="V26" s="169"/>
      <c r="W26" s="169"/>
      <c r="X26" s="169"/>
      <c r="Y26" s="169"/>
      <c r="Z26" s="169"/>
      <c r="AA26" s="169"/>
      <c r="AB26" s="169"/>
      <c r="AC26" s="169"/>
      <c r="AD26" s="169"/>
      <c r="AE26" s="169"/>
      <c r="AF26" s="169"/>
      <c r="AG26" s="169"/>
      <c r="AH26" s="169"/>
      <c r="AI26" s="169"/>
      <c r="AJ26" s="169"/>
      <c r="AK26" s="169"/>
      <c r="AL26" s="169"/>
      <c r="AM26" s="169"/>
      <c r="AN26" s="169"/>
      <c r="AO26" s="169"/>
      <c r="AP26" s="635">
        <v>306000</v>
      </c>
      <c r="AQ26" s="169"/>
      <c r="AR26" s="169"/>
      <c r="AS26" s="169"/>
      <c r="AT26" s="169"/>
      <c r="AU26" s="330">
        <f t="shared" si="0"/>
        <v>0</v>
      </c>
      <c r="AV26" s="169"/>
      <c r="AW26" s="168"/>
      <c r="AX26" s="168"/>
      <c r="AY26" s="168"/>
      <c r="AZ26" s="168"/>
      <c r="BA26" s="168"/>
      <c r="CV26" s="456"/>
      <c r="CW26" s="456"/>
      <c r="CX26" s="456"/>
      <c r="CY26" s="456"/>
      <c r="CZ26" s="456"/>
      <c r="DA26" s="456"/>
      <c r="DB26" s="456"/>
      <c r="DC26" s="456"/>
      <c r="DD26" s="456"/>
      <c r="DE26" s="456"/>
      <c r="DF26" s="456"/>
      <c r="DG26" s="456"/>
      <c r="DH26" s="456"/>
      <c r="DI26" s="456"/>
      <c r="DJ26" s="456"/>
      <c r="DK26" s="456"/>
      <c r="DL26" s="456"/>
      <c r="DM26" s="456"/>
      <c r="DN26" s="456"/>
      <c r="DO26" s="456"/>
      <c r="DP26" s="456"/>
      <c r="DQ26" s="456"/>
    </row>
    <row r="27" spans="1:47" ht="18" hidden="1">
      <c r="A27" s="329"/>
      <c r="B27" s="510" t="s">
        <v>285</v>
      </c>
      <c r="C27" s="328"/>
      <c r="D27" s="328"/>
      <c r="E27" s="328"/>
      <c r="F27" s="328"/>
      <c r="G27" s="328"/>
      <c r="H27" s="735"/>
      <c r="I27" s="736"/>
      <c r="J27" s="737"/>
      <c r="K27" s="330"/>
      <c r="L27" s="330"/>
      <c r="M27" s="330"/>
      <c r="N27" s="331"/>
      <c r="O27" s="331"/>
      <c r="P27" s="331"/>
      <c r="Q27" s="331"/>
      <c r="R27" s="331"/>
      <c r="T27" s="506"/>
      <c r="AP27" s="635"/>
      <c r="AU27" s="330">
        <f t="shared" si="0"/>
        <v>0</v>
      </c>
    </row>
    <row r="28" spans="1:121" s="326" customFormat="1" ht="18.75">
      <c r="A28" s="329"/>
      <c r="B28" s="509" t="s">
        <v>286</v>
      </c>
      <c r="C28" s="387"/>
      <c r="D28" s="387"/>
      <c r="E28" s="387"/>
      <c r="F28" s="387"/>
      <c r="G28" s="387"/>
      <c r="H28" s="735">
        <v>9935117</v>
      </c>
      <c r="I28" s="736"/>
      <c r="J28" s="735">
        <v>9413414.9</v>
      </c>
      <c r="K28" s="330">
        <v>9164065.48</v>
      </c>
      <c r="L28" s="330">
        <v>7530400.66</v>
      </c>
      <c r="M28" s="330">
        <v>6882362.8</v>
      </c>
      <c r="N28" s="331">
        <v>6910110</v>
      </c>
      <c r="O28" s="331">
        <v>6466740</v>
      </c>
      <c r="P28" s="331">
        <v>7340930</v>
      </c>
      <c r="Q28" s="331">
        <v>6918580</v>
      </c>
      <c r="R28" s="331"/>
      <c r="S28" s="169"/>
      <c r="T28" s="506">
        <v>9427852</v>
      </c>
      <c r="U28" s="506">
        <f>+J28-T28</f>
        <v>-14437.099999999627</v>
      </c>
      <c r="V28" s="169"/>
      <c r="W28" s="506">
        <v>14437.1</v>
      </c>
      <c r="X28" s="506">
        <f>+W28</f>
        <v>14437.1</v>
      </c>
      <c r="Y28" s="169"/>
      <c r="Z28" s="169"/>
      <c r="AA28" s="169"/>
      <c r="AB28" s="169"/>
      <c r="AC28" s="169"/>
      <c r="AD28" s="169"/>
      <c r="AE28" s="169"/>
      <c r="AF28" s="169"/>
      <c r="AG28" s="169"/>
      <c r="AH28" s="169"/>
      <c r="AI28" s="169"/>
      <c r="AJ28" s="169"/>
      <c r="AK28" s="169"/>
      <c r="AL28" s="169"/>
      <c r="AM28" s="169"/>
      <c r="AN28" s="169"/>
      <c r="AO28" s="169"/>
      <c r="AP28" s="635">
        <v>9935117</v>
      </c>
      <c r="AQ28" s="169"/>
      <c r="AR28" s="169"/>
      <c r="AS28" s="169"/>
      <c r="AT28" s="169"/>
      <c r="AU28" s="330">
        <f t="shared" si="0"/>
        <v>0</v>
      </c>
      <c r="AV28" s="169"/>
      <c r="AW28" s="168"/>
      <c r="AX28" s="168"/>
      <c r="AY28" s="168"/>
      <c r="AZ28" s="168"/>
      <c r="BA28" s="168"/>
      <c r="CV28" s="456"/>
      <c r="CW28" s="456"/>
      <c r="CX28" s="456"/>
      <c r="CY28" s="456"/>
      <c r="CZ28" s="456"/>
      <c r="DA28" s="456"/>
      <c r="DB28" s="456"/>
      <c r="DC28" s="456"/>
      <c r="DD28" s="456"/>
      <c r="DE28" s="456"/>
      <c r="DF28" s="456"/>
      <c r="DG28" s="456"/>
      <c r="DH28" s="456"/>
      <c r="DI28" s="456"/>
      <c r="DJ28" s="456"/>
      <c r="DK28" s="456"/>
      <c r="DL28" s="456"/>
      <c r="DM28" s="456"/>
      <c r="DN28" s="456"/>
      <c r="DO28" s="456"/>
      <c r="DP28" s="456"/>
      <c r="DQ28" s="456"/>
    </row>
    <row r="29" spans="2:47" ht="18" hidden="1">
      <c r="B29" s="509" t="s">
        <v>287</v>
      </c>
      <c r="C29" s="387"/>
      <c r="D29" s="387"/>
      <c r="E29" s="387"/>
      <c r="F29" s="387"/>
      <c r="G29" s="387"/>
      <c r="H29" s="735"/>
      <c r="I29" s="736"/>
      <c r="J29" s="735"/>
      <c r="K29" s="78"/>
      <c r="L29" s="78"/>
      <c r="M29" s="78">
        <v>178619.75</v>
      </c>
      <c r="N29" s="17">
        <v>9698457.32</v>
      </c>
      <c r="O29" s="17">
        <v>3164930.3</v>
      </c>
      <c r="P29" s="17">
        <v>3814756.54</v>
      </c>
      <c r="Q29" s="17">
        <v>3541289.3</v>
      </c>
      <c r="R29" s="17"/>
      <c r="T29" s="506"/>
      <c r="AP29" s="635"/>
      <c r="AU29" s="330">
        <f t="shared" si="0"/>
        <v>0</v>
      </c>
    </row>
    <row r="30" spans="2:47" ht="18.75">
      <c r="B30" s="509" t="s">
        <v>636</v>
      </c>
      <c r="C30" s="387"/>
      <c r="D30" s="387"/>
      <c r="E30" s="387"/>
      <c r="F30" s="387"/>
      <c r="G30" s="387"/>
      <c r="H30" s="735">
        <v>46342699.62</v>
      </c>
      <c r="I30" s="736"/>
      <c r="J30" s="735">
        <v>39894751.75</v>
      </c>
      <c r="K30" s="78">
        <v>33821745.12</v>
      </c>
      <c r="L30" s="78">
        <v>15795341.83</v>
      </c>
      <c r="M30" s="78">
        <v>28767122.48</v>
      </c>
      <c r="N30" s="17"/>
      <c r="O30" s="17"/>
      <c r="P30" s="17"/>
      <c r="Q30" s="17"/>
      <c r="R30" s="17"/>
      <c r="T30" s="506">
        <f>21452369.84+18442381.91</f>
        <v>39894751.75</v>
      </c>
      <c r="U30" s="506">
        <f>+J30-T30</f>
        <v>0</v>
      </c>
      <c r="V30" s="506"/>
      <c r="W30" s="506"/>
      <c r="X30" s="506"/>
      <c r="Y30" s="506"/>
      <c r="AP30" s="635">
        <v>46342699.620000005</v>
      </c>
      <c r="AU30" s="330">
        <f t="shared" si="0"/>
        <v>0</v>
      </c>
    </row>
    <row r="31" spans="2:47" ht="18" hidden="1">
      <c r="B31" s="511" t="s">
        <v>505</v>
      </c>
      <c r="C31" s="31"/>
      <c r="D31" s="31"/>
      <c r="E31" s="31"/>
      <c r="F31" s="31"/>
      <c r="G31" s="31"/>
      <c r="H31" s="735"/>
      <c r="I31" s="736"/>
      <c r="J31" s="737"/>
      <c r="K31" s="78"/>
      <c r="L31" s="78"/>
      <c r="M31" s="78">
        <v>3000</v>
      </c>
      <c r="N31" s="17"/>
      <c r="O31" s="17">
        <v>8356480.82</v>
      </c>
      <c r="P31" s="17">
        <v>3855872.59</v>
      </c>
      <c r="Q31" s="17">
        <v>6905516.08</v>
      </c>
      <c r="R31" s="17"/>
      <c r="T31" s="506"/>
      <c r="AP31" s="635"/>
      <c r="AU31" s="330">
        <f t="shared" si="0"/>
        <v>0</v>
      </c>
    </row>
    <row r="32" spans="2:47" ht="18" hidden="1">
      <c r="B32" s="511" t="s">
        <v>288</v>
      </c>
      <c r="C32" s="31"/>
      <c r="D32" s="31"/>
      <c r="E32" s="31"/>
      <c r="F32" s="31"/>
      <c r="G32" s="31"/>
      <c r="H32" s="735"/>
      <c r="I32" s="736"/>
      <c r="J32" s="737"/>
      <c r="K32" s="78"/>
      <c r="L32" s="78"/>
      <c r="M32" s="78"/>
      <c r="N32" s="17"/>
      <c r="O32" s="17"/>
      <c r="P32" s="17"/>
      <c r="Q32" s="17">
        <v>1500</v>
      </c>
      <c r="R32" s="17"/>
      <c r="T32" s="506"/>
      <c r="AP32" s="635"/>
      <c r="AU32" s="330">
        <f t="shared" si="0"/>
        <v>0</v>
      </c>
    </row>
    <row r="33" spans="2:47" ht="18" hidden="1">
      <c r="B33" s="511" t="s">
        <v>289</v>
      </c>
      <c r="C33" s="31"/>
      <c r="D33" s="31"/>
      <c r="E33" s="31"/>
      <c r="F33" s="31"/>
      <c r="G33" s="31"/>
      <c r="H33" s="735"/>
      <c r="I33" s="736"/>
      <c r="J33" s="737"/>
      <c r="K33" s="78"/>
      <c r="L33" s="78"/>
      <c r="M33" s="78"/>
      <c r="N33" s="17"/>
      <c r="O33" s="17"/>
      <c r="P33" s="17"/>
      <c r="Q33" s="17"/>
      <c r="R33" s="17"/>
      <c r="T33" s="506"/>
      <c r="AP33" s="635"/>
      <c r="AU33" s="330">
        <f t="shared" si="0"/>
        <v>0</v>
      </c>
    </row>
    <row r="34" spans="2:47" ht="18" hidden="1">
      <c r="B34" s="511" t="s">
        <v>290</v>
      </c>
      <c r="C34" s="31"/>
      <c r="D34" s="31"/>
      <c r="E34" s="31"/>
      <c r="F34" s="31"/>
      <c r="G34" s="31"/>
      <c r="H34" s="735"/>
      <c r="I34" s="735"/>
      <c r="J34" s="737"/>
      <c r="K34" s="78"/>
      <c r="L34" s="78"/>
      <c r="M34" s="78"/>
      <c r="N34" s="17"/>
      <c r="O34" s="17"/>
      <c r="P34" s="17"/>
      <c r="Q34" s="17"/>
      <c r="R34" s="17"/>
      <c r="T34" s="506"/>
      <c r="AP34" s="635"/>
      <c r="AU34" s="330">
        <f t="shared" si="0"/>
        <v>0</v>
      </c>
    </row>
    <row r="35" spans="2:47" ht="18" hidden="1">
      <c r="B35" s="511"/>
      <c r="C35" s="31"/>
      <c r="D35" s="31"/>
      <c r="E35" s="31"/>
      <c r="F35" s="31"/>
      <c r="G35" s="31"/>
      <c r="H35" s="735"/>
      <c r="I35" s="736"/>
      <c r="J35" s="737"/>
      <c r="K35" s="78"/>
      <c r="L35" s="78"/>
      <c r="M35" s="78"/>
      <c r="N35" s="17"/>
      <c r="O35" s="17"/>
      <c r="P35" s="17"/>
      <c r="Q35" s="17"/>
      <c r="R35" s="17"/>
      <c r="T35" s="506"/>
      <c r="AP35" s="635"/>
      <c r="AU35" s="330">
        <f t="shared" si="0"/>
        <v>0</v>
      </c>
    </row>
    <row r="36" spans="2:121" s="455" customFormat="1" ht="18.75">
      <c r="B36" s="511" t="s">
        <v>894</v>
      </c>
      <c r="C36" s="31"/>
      <c r="D36" s="31"/>
      <c r="E36" s="31"/>
      <c r="F36" s="31"/>
      <c r="G36" s="31"/>
      <c r="H36" s="735">
        <v>24973273.14</v>
      </c>
      <c r="I36" s="736"/>
      <c r="J36" s="737">
        <v>21347138.38</v>
      </c>
      <c r="K36" s="78"/>
      <c r="L36" s="78"/>
      <c r="M36" s="78"/>
      <c r="N36" s="457"/>
      <c r="O36" s="457"/>
      <c r="P36" s="457"/>
      <c r="Q36" s="457"/>
      <c r="R36" s="457"/>
      <c r="S36" s="169"/>
      <c r="T36" s="506">
        <v>21347138.38</v>
      </c>
      <c r="U36" s="506">
        <f>+J36-T36</f>
        <v>0</v>
      </c>
      <c r="V36" s="169"/>
      <c r="W36" s="169"/>
      <c r="X36" s="169"/>
      <c r="Y36" s="169"/>
      <c r="Z36" s="169"/>
      <c r="AA36" s="169"/>
      <c r="AB36" s="169"/>
      <c r="AC36" s="169"/>
      <c r="AD36" s="169"/>
      <c r="AE36" s="169"/>
      <c r="AF36" s="169"/>
      <c r="AG36" s="169"/>
      <c r="AH36" s="169"/>
      <c r="AI36" s="169"/>
      <c r="AJ36" s="169"/>
      <c r="AK36" s="169"/>
      <c r="AL36" s="169"/>
      <c r="AM36" s="169"/>
      <c r="AN36" s="169"/>
      <c r="AO36" s="169"/>
      <c r="AP36" s="635">
        <v>24973273.139999997</v>
      </c>
      <c r="AQ36" s="169"/>
      <c r="AR36" s="169"/>
      <c r="AS36" s="169"/>
      <c r="AT36" s="169"/>
      <c r="AU36" s="330">
        <f t="shared" si="0"/>
        <v>0</v>
      </c>
      <c r="AV36" s="169"/>
      <c r="AW36" s="456"/>
      <c r="AX36" s="456"/>
      <c r="AY36" s="456"/>
      <c r="AZ36" s="456"/>
      <c r="BA36" s="456"/>
      <c r="CV36" s="456"/>
      <c r="CW36" s="456"/>
      <c r="CX36" s="456"/>
      <c r="CY36" s="456"/>
      <c r="CZ36" s="456"/>
      <c r="DA36" s="456"/>
      <c r="DB36" s="456"/>
      <c r="DC36" s="456"/>
      <c r="DD36" s="456"/>
      <c r="DE36" s="456"/>
      <c r="DF36" s="456"/>
      <c r="DG36" s="456"/>
      <c r="DH36" s="456"/>
      <c r="DI36" s="456"/>
      <c r="DJ36" s="456"/>
      <c r="DK36" s="456"/>
      <c r="DL36" s="456"/>
      <c r="DM36" s="456"/>
      <c r="DN36" s="456"/>
      <c r="DO36" s="456"/>
      <c r="DP36" s="456"/>
      <c r="DQ36" s="456"/>
    </row>
    <row r="37" spans="1:47" ht="18.75">
      <c r="A37" s="329"/>
      <c r="B37" s="510" t="s">
        <v>291</v>
      </c>
      <c r="C37" s="328"/>
      <c r="D37" s="328"/>
      <c r="E37" s="328"/>
      <c r="F37" s="328"/>
      <c r="G37" s="328"/>
      <c r="H37" s="735">
        <v>25091248.95</v>
      </c>
      <c r="I37" s="736"/>
      <c r="J37" s="736">
        <v>22629635.12</v>
      </c>
      <c r="K37" s="78">
        <v>20354710.56</v>
      </c>
      <c r="L37" s="78">
        <v>17248294.08</v>
      </c>
      <c r="M37" s="78">
        <v>17219823.96</v>
      </c>
      <c r="N37" s="17">
        <v>14603672.19</v>
      </c>
      <c r="O37" s="17">
        <v>13251406.64</v>
      </c>
      <c r="P37" s="17">
        <v>13778324.79</v>
      </c>
      <c r="Q37" s="17">
        <v>13171012.76</v>
      </c>
      <c r="R37" s="17"/>
      <c r="T37" s="506"/>
      <c r="AP37" s="635">
        <v>25091248.950000003</v>
      </c>
      <c r="AU37" s="330">
        <f t="shared" si="0"/>
        <v>0</v>
      </c>
    </row>
    <row r="38" spans="1:47" ht="18.75">
      <c r="A38" s="332"/>
      <c r="B38" s="512" t="s">
        <v>292</v>
      </c>
      <c r="C38" s="413"/>
      <c r="D38" s="413"/>
      <c r="E38" s="413"/>
      <c r="F38" s="413"/>
      <c r="G38" s="413"/>
      <c r="H38" s="735"/>
      <c r="I38" s="736"/>
      <c r="J38" s="736">
        <v>5152803.7</v>
      </c>
      <c r="K38" s="333">
        <v>5181582.2</v>
      </c>
      <c r="L38" s="333">
        <v>4356163.01</v>
      </c>
      <c r="M38" s="333"/>
      <c r="N38" s="334">
        <v>16782321.44</v>
      </c>
      <c r="O38" s="334">
        <v>16201374.8</v>
      </c>
      <c r="P38" s="334">
        <v>16297493.81</v>
      </c>
      <c r="Q38" s="334">
        <v>16383665.86</v>
      </c>
      <c r="R38" s="334"/>
      <c r="T38" s="506">
        <v>5152803.7</v>
      </c>
      <c r="U38" s="506">
        <f>+J38-T38</f>
        <v>0</v>
      </c>
      <c r="AP38" s="635"/>
      <c r="AU38" s="330">
        <f t="shared" si="0"/>
        <v>0</v>
      </c>
    </row>
    <row r="39" spans="1:121" s="326" customFormat="1" ht="18.75">
      <c r="A39" s="332"/>
      <c r="B39" s="512" t="s">
        <v>293</v>
      </c>
      <c r="C39" s="413"/>
      <c r="D39" s="413"/>
      <c r="E39" s="413"/>
      <c r="F39" s="413"/>
      <c r="G39" s="413"/>
      <c r="H39" s="735">
        <v>2686370</v>
      </c>
      <c r="I39" s="736"/>
      <c r="J39" s="736">
        <v>2402383</v>
      </c>
      <c r="K39" s="333">
        <v>5434895.52</v>
      </c>
      <c r="L39" s="333">
        <v>862212.5</v>
      </c>
      <c r="M39" s="333">
        <v>646649.07</v>
      </c>
      <c r="N39" s="334">
        <v>532259.79</v>
      </c>
      <c r="O39" s="334">
        <v>4097788.3</v>
      </c>
      <c r="P39" s="334">
        <v>511315.14</v>
      </c>
      <c r="Q39" s="334">
        <v>1776856</v>
      </c>
      <c r="R39" s="334"/>
      <c r="S39" s="169"/>
      <c r="T39" s="506"/>
      <c r="U39" s="169"/>
      <c r="V39" s="169"/>
      <c r="W39" s="169"/>
      <c r="X39" s="169"/>
      <c r="Y39" s="169"/>
      <c r="Z39" s="169"/>
      <c r="AA39" s="169"/>
      <c r="AB39" s="169"/>
      <c r="AC39" s="169"/>
      <c r="AD39" s="169"/>
      <c r="AE39" s="169"/>
      <c r="AF39" s="169"/>
      <c r="AG39" s="169"/>
      <c r="AH39" s="169"/>
      <c r="AI39" s="169"/>
      <c r="AJ39" s="169"/>
      <c r="AK39" s="169"/>
      <c r="AL39" s="169"/>
      <c r="AM39" s="169"/>
      <c r="AN39" s="169"/>
      <c r="AO39" s="169"/>
      <c r="AP39" s="635">
        <v>2926833.93</v>
      </c>
      <c r="AQ39" s="169"/>
      <c r="AR39" s="169"/>
      <c r="AS39" s="169"/>
      <c r="AT39" s="169"/>
      <c r="AU39" s="330">
        <f t="shared" si="0"/>
        <v>-240463.93000000017</v>
      </c>
      <c r="AV39" s="169"/>
      <c r="AW39" s="168" t="s">
        <v>1226</v>
      </c>
      <c r="AX39" s="168"/>
      <c r="AY39" s="168"/>
      <c r="AZ39" s="168"/>
      <c r="BA39" s="168"/>
      <c r="CV39" s="456"/>
      <c r="CW39" s="456"/>
      <c r="CX39" s="456"/>
      <c r="CY39" s="456"/>
      <c r="CZ39" s="456"/>
      <c r="DA39" s="456"/>
      <c r="DB39" s="456"/>
      <c r="DC39" s="456"/>
      <c r="DD39" s="456"/>
      <c r="DE39" s="456"/>
      <c r="DF39" s="456"/>
      <c r="DG39" s="456"/>
      <c r="DH39" s="456"/>
      <c r="DI39" s="456"/>
      <c r="DJ39" s="456"/>
      <c r="DK39" s="456"/>
      <c r="DL39" s="456"/>
      <c r="DM39" s="456"/>
      <c r="DN39" s="456"/>
      <c r="DO39" s="456"/>
      <c r="DP39" s="456"/>
      <c r="DQ39" s="456"/>
    </row>
    <row r="40" spans="1:47" ht="18.75">
      <c r="A40" s="329"/>
      <c r="B40" s="510" t="s">
        <v>294</v>
      </c>
      <c r="C40" s="328"/>
      <c r="D40" s="328"/>
      <c r="E40" s="328"/>
      <c r="F40" s="328"/>
      <c r="G40" s="328"/>
      <c r="H40" s="735">
        <v>1537854.04</v>
      </c>
      <c r="I40" s="736"/>
      <c r="J40" s="736">
        <v>772706.94</v>
      </c>
      <c r="K40" s="78">
        <v>3100347.56</v>
      </c>
      <c r="L40" s="78">
        <v>2343669.54</v>
      </c>
      <c r="M40" s="78">
        <v>1456921.69</v>
      </c>
      <c r="N40" s="17">
        <v>284489.73</v>
      </c>
      <c r="O40" s="17">
        <v>2188550.27</v>
      </c>
      <c r="P40" s="17">
        <v>903485.87</v>
      </c>
      <c r="Q40" s="17">
        <v>1233222.88</v>
      </c>
      <c r="R40" s="17"/>
      <c r="T40" s="506"/>
      <c r="AP40" s="635">
        <v>1537854.04</v>
      </c>
      <c r="AU40" s="330">
        <f t="shared" si="0"/>
        <v>0</v>
      </c>
    </row>
    <row r="41" spans="1:121" s="326" customFormat="1" ht="18.75">
      <c r="A41" s="329"/>
      <c r="B41" s="509" t="s">
        <v>591</v>
      </c>
      <c r="C41" s="387"/>
      <c r="D41" s="412"/>
      <c r="E41" s="412"/>
      <c r="F41" s="412"/>
      <c r="G41" s="387"/>
      <c r="H41" s="735">
        <v>20538301.65</v>
      </c>
      <c r="I41" s="736"/>
      <c r="J41" s="735">
        <v>18448089.91</v>
      </c>
      <c r="K41" s="330">
        <v>16402103.85</v>
      </c>
      <c r="L41" s="330">
        <v>13918530.5</v>
      </c>
      <c r="M41" s="330">
        <v>13689730.8</v>
      </c>
      <c r="N41" s="331">
        <v>11997538.55</v>
      </c>
      <c r="O41" s="331">
        <v>10516192.83</v>
      </c>
      <c r="P41" s="331">
        <v>11026960.22</v>
      </c>
      <c r="Q41" s="331">
        <v>10561008.28</v>
      </c>
      <c r="R41" s="331"/>
      <c r="S41" s="169"/>
      <c r="T41" s="506">
        <v>18448089.910000004</v>
      </c>
      <c r="U41" s="506">
        <f>J41-T41</f>
        <v>0</v>
      </c>
      <c r="V41" s="506"/>
      <c r="W41" s="506"/>
      <c r="X41" s="506"/>
      <c r="Y41" s="169"/>
      <c r="Z41" s="169"/>
      <c r="AA41" s="169"/>
      <c r="AB41" s="169"/>
      <c r="AC41" s="169"/>
      <c r="AD41" s="169"/>
      <c r="AE41" s="169"/>
      <c r="AF41" s="169"/>
      <c r="AG41" s="169"/>
      <c r="AH41" s="169"/>
      <c r="AI41" s="169"/>
      <c r="AJ41" s="169"/>
      <c r="AK41" s="169"/>
      <c r="AL41" s="169"/>
      <c r="AM41" s="169"/>
      <c r="AN41" s="169"/>
      <c r="AO41" s="169"/>
      <c r="AP41" s="635">
        <v>20538301.649999995</v>
      </c>
      <c r="AQ41" s="169"/>
      <c r="AR41" s="169"/>
      <c r="AS41" s="169"/>
      <c r="AT41" s="169"/>
      <c r="AU41" s="330">
        <f t="shared" si="0"/>
        <v>0</v>
      </c>
      <c r="AV41" s="169"/>
      <c r="AW41" s="456"/>
      <c r="AX41" s="168"/>
      <c r="AY41" s="168"/>
      <c r="AZ41" s="168"/>
      <c r="BA41" s="168"/>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row>
    <row r="42" spans="1:121" s="326" customFormat="1" ht="18.75">
      <c r="A42" s="329"/>
      <c r="B42" s="509" t="s">
        <v>295</v>
      </c>
      <c r="C42" s="387"/>
      <c r="D42" s="412"/>
      <c r="E42" s="412"/>
      <c r="F42" s="412"/>
      <c r="G42" s="387"/>
      <c r="H42" s="735">
        <v>20724530.98</v>
      </c>
      <c r="I42" s="736"/>
      <c r="J42" s="735">
        <v>18623767.87</v>
      </c>
      <c r="K42" s="330">
        <v>16596147.46</v>
      </c>
      <c r="L42" s="330">
        <v>14120732.26</v>
      </c>
      <c r="M42" s="330">
        <v>13888551.14</v>
      </c>
      <c r="N42" s="331">
        <v>12139580.17</v>
      </c>
      <c r="O42" s="331">
        <v>10749589.99</v>
      </c>
      <c r="P42" s="331">
        <v>11219091.99</v>
      </c>
      <c r="Q42" s="331">
        <v>9848125.92</v>
      </c>
      <c r="R42" s="331"/>
      <c r="S42" s="169"/>
      <c r="T42" s="506">
        <v>18623767.87</v>
      </c>
      <c r="U42" s="506">
        <f>+J42-T42</f>
        <v>0</v>
      </c>
      <c r="V42" s="506">
        <f>J41+J42+J43</f>
        <v>39660235.120000005</v>
      </c>
      <c r="W42" s="169"/>
      <c r="X42" s="169"/>
      <c r="Y42" s="169"/>
      <c r="Z42" s="169"/>
      <c r="AA42" s="169"/>
      <c r="AB42" s="169"/>
      <c r="AC42" s="169"/>
      <c r="AD42" s="169"/>
      <c r="AE42" s="169"/>
      <c r="AF42" s="169"/>
      <c r="AG42" s="169"/>
      <c r="AH42" s="169"/>
      <c r="AI42" s="169"/>
      <c r="AJ42" s="169"/>
      <c r="AK42" s="169"/>
      <c r="AL42" s="169"/>
      <c r="AM42" s="169"/>
      <c r="AN42" s="169"/>
      <c r="AO42" s="169"/>
      <c r="AP42" s="635">
        <v>20724530.98</v>
      </c>
      <c r="AQ42" s="169"/>
      <c r="AR42" s="169"/>
      <c r="AS42" s="169"/>
      <c r="AT42" s="169"/>
      <c r="AU42" s="330">
        <f t="shared" si="0"/>
        <v>0</v>
      </c>
      <c r="AV42" s="169"/>
      <c r="AW42" s="168"/>
      <c r="AX42" s="168"/>
      <c r="AY42" s="168"/>
      <c r="AZ42" s="168"/>
      <c r="BA42" s="168"/>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row>
    <row r="43" spans="1:121" s="327" customFormat="1" ht="18.75">
      <c r="A43" s="340"/>
      <c r="B43" s="513" t="s">
        <v>296</v>
      </c>
      <c r="C43" s="414"/>
      <c r="D43" s="414"/>
      <c r="E43" s="414"/>
      <c r="F43" s="414"/>
      <c r="G43" s="414"/>
      <c r="H43" s="735">
        <v>2926833.93</v>
      </c>
      <c r="I43" s="736"/>
      <c r="J43" s="736">
        <v>2588377.34</v>
      </c>
      <c r="K43" s="330">
        <v>2256690.61</v>
      </c>
      <c r="L43" s="330">
        <v>1915257.98</v>
      </c>
      <c r="M43" s="341">
        <v>1887881.79</v>
      </c>
      <c r="N43" s="340">
        <v>1642635.04</v>
      </c>
      <c r="O43" s="340">
        <v>1359509.37</v>
      </c>
      <c r="P43" s="340">
        <v>1472694.38</v>
      </c>
      <c r="Q43" s="340">
        <v>2247767.84</v>
      </c>
      <c r="R43" s="340"/>
      <c r="S43" s="502"/>
      <c r="T43" s="506"/>
      <c r="U43" s="502"/>
      <c r="V43" s="502"/>
      <c r="W43" s="502"/>
      <c r="X43" s="502"/>
      <c r="Y43" s="502"/>
      <c r="Z43" s="502"/>
      <c r="AA43" s="502"/>
      <c r="AB43" s="502"/>
      <c r="AC43" s="502"/>
      <c r="AD43" s="502"/>
      <c r="AE43" s="502"/>
      <c r="AF43" s="502"/>
      <c r="AG43" s="502"/>
      <c r="AH43" s="502"/>
      <c r="AI43" s="502"/>
      <c r="AJ43" s="502"/>
      <c r="AK43" s="502"/>
      <c r="AL43" s="502"/>
      <c r="AM43" s="502"/>
      <c r="AN43" s="502"/>
      <c r="AO43" s="502"/>
      <c r="AP43" s="635">
        <v>2926833.93</v>
      </c>
      <c r="AQ43" s="502"/>
      <c r="AR43" s="502"/>
      <c r="AS43" s="502"/>
      <c r="AT43" s="502"/>
      <c r="AU43" s="330">
        <f t="shared" si="0"/>
        <v>0</v>
      </c>
      <c r="AV43" s="502"/>
      <c r="AW43" s="168" t="s">
        <v>1227</v>
      </c>
      <c r="AX43" s="159"/>
      <c r="AY43" s="159"/>
      <c r="AZ43" s="159"/>
      <c r="BA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row>
    <row r="44" spans="2:47" ht="18" hidden="1">
      <c r="B44" s="511" t="s">
        <v>297</v>
      </c>
      <c r="C44" s="31"/>
      <c r="D44" s="31"/>
      <c r="E44" s="31"/>
      <c r="F44" s="31"/>
      <c r="G44" s="31"/>
      <c r="H44" s="735"/>
      <c r="I44" s="736"/>
      <c r="J44" s="737"/>
      <c r="K44" s="31"/>
      <c r="L44" s="78"/>
      <c r="M44" s="78"/>
      <c r="N44" s="17"/>
      <c r="O44" s="17">
        <v>60000</v>
      </c>
      <c r="P44" s="17"/>
      <c r="Q44" s="17">
        <v>18000</v>
      </c>
      <c r="AU44" s="330">
        <f t="shared" si="0"/>
        <v>0</v>
      </c>
    </row>
    <row r="45" spans="2:47" ht="18" hidden="1">
      <c r="B45" s="511" t="s">
        <v>298</v>
      </c>
      <c r="C45" s="31"/>
      <c r="D45" s="31"/>
      <c r="E45" s="31"/>
      <c r="F45" s="31"/>
      <c r="G45" s="31"/>
      <c r="H45" s="735"/>
      <c r="I45" s="735"/>
      <c r="J45" s="737"/>
      <c r="K45" s="31"/>
      <c r="L45" s="78"/>
      <c r="M45" s="78"/>
      <c r="N45" s="17"/>
      <c r="O45" s="17"/>
      <c r="P45" s="17"/>
      <c r="Q45" s="17"/>
      <c r="AU45" s="330">
        <f t="shared" si="0"/>
        <v>0</v>
      </c>
    </row>
    <row r="46" spans="2:47" ht="18.75">
      <c r="B46" s="511" t="s">
        <v>299</v>
      </c>
      <c r="C46" s="31"/>
      <c r="D46" s="31"/>
      <c r="E46" s="31"/>
      <c r="F46" s="31"/>
      <c r="G46" s="31"/>
      <c r="H46" s="735"/>
      <c r="I46" s="736"/>
      <c r="J46" s="737">
        <f>25+1004.5+1064</f>
        <v>2093.5</v>
      </c>
      <c r="K46" s="31"/>
      <c r="L46" s="17"/>
      <c r="M46" s="17"/>
      <c r="N46" s="17"/>
      <c r="O46" s="17">
        <v>18</v>
      </c>
      <c r="P46" s="35">
        <v>4800</v>
      </c>
      <c r="Q46" s="35">
        <v>650</v>
      </c>
      <c r="V46" s="506">
        <f>Y30+U41+U42+U12</f>
        <v>156156.3600000143</v>
      </c>
      <c r="W46" s="506"/>
      <c r="X46" s="506"/>
      <c r="AU46" s="330">
        <f t="shared" si="0"/>
        <v>0</v>
      </c>
    </row>
    <row r="47" spans="2:16" ht="18" hidden="1">
      <c r="B47" s="511" t="s">
        <v>298</v>
      </c>
      <c r="C47" s="31"/>
      <c r="D47" s="31"/>
      <c r="E47" s="31"/>
      <c r="F47" s="31"/>
      <c r="G47" s="31"/>
      <c r="H47" s="735"/>
      <c r="I47" s="736"/>
      <c r="J47" s="737"/>
      <c r="K47" s="78">
        <v>50000</v>
      </c>
      <c r="L47" s="35"/>
      <c r="M47" s="35"/>
      <c r="N47" s="35"/>
      <c r="O47" s="35"/>
      <c r="P47" s="13"/>
    </row>
    <row r="48" spans="2:47" ht="15.75" thickBot="1">
      <c r="B48" s="386" t="s">
        <v>300</v>
      </c>
      <c r="C48" s="386"/>
      <c r="D48" s="386"/>
      <c r="E48" s="386"/>
      <c r="F48" s="386"/>
      <c r="G48" s="386"/>
      <c r="H48" s="738">
        <f>SUM(H12:H47)</f>
        <v>447085240.08</v>
      </c>
      <c r="I48" s="738"/>
      <c r="J48" s="738">
        <f>SUM(J12:J47)</f>
        <v>404356333.09999996</v>
      </c>
      <c r="K48" s="80">
        <f>SUM(K12:K47)</f>
        <v>348666564.84</v>
      </c>
      <c r="L48" s="80">
        <f>SUM(L12:L46)</f>
        <v>280047658.96000004</v>
      </c>
      <c r="M48" s="80">
        <f>SUM(M12:M46)</f>
        <v>284026060.00000006</v>
      </c>
      <c r="N48" s="80">
        <f>SUM(N12:N46)</f>
        <v>247927393.04999995</v>
      </c>
      <c r="O48" s="47">
        <f>SUM(O12:O47)</f>
        <v>229820896.54000008</v>
      </c>
      <c r="P48" s="47">
        <f>SUM(P12:P46)</f>
        <v>229898298.89000002</v>
      </c>
      <c r="Q48" s="42">
        <f>SUM(Q12:Q46)</f>
        <v>225134768.08</v>
      </c>
      <c r="R48" s="17"/>
      <c r="AP48" s="629">
        <v>447116398.41000015</v>
      </c>
      <c r="AQ48" s="628"/>
      <c r="AR48" s="628"/>
      <c r="AS48" s="628"/>
      <c r="AT48" s="628"/>
      <c r="AU48" s="630">
        <f>AP48-H48</f>
        <v>31158.330000162125</v>
      </c>
    </row>
    <row r="49" spans="2:50" ht="15.75" thickTop="1">
      <c r="B49" s="31"/>
      <c r="C49" s="31"/>
      <c r="D49" s="31"/>
      <c r="E49" s="31"/>
      <c r="F49" s="31"/>
      <c r="G49" s="31"/>
      <c r="H49" s="31"/>
      <c r="I49" s="31"/>
      <c r="J49" s="31"/>
      <c r="K49" s="31"/>
      <c r="L49" s="31"/>
      <c r="M49" s="31"/>
      <c r="N49" s="31"/>
      <c r="O49" s="17"/>
      <c r="P49" s="17"/>
      <c r="AX49" s="664"/>
    </row>
    <row r="50" spans="1:121" s="455" customFormat="1" ht="15">
      <c r="A50" s="455" t="s">
        <v>96</v>
      </c>
      <c r="B50" s="46" t="s">
        <v>1237</v>
      </c>
      <c r="C50" s="33"/>
      <c r="D50" s="33"/>
      <c r="E50" s="33"/>
      <c r="F50" s="33"/>
      <c r="G50" s="33"/>
      <c r="H50" s="33"/>
      <c r="I50" s="33"/>
      <c r="J50" s="33"/>
      <c r="K50" s="31"/>
      <c r="L50" s="31"/>
      <c r="M50" s="31"/>
      <c r="N50" s="31"/>
      <c r="O50" s="457"/>
      <c r="P50" s="457"/>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456"/>
      <c r="AX50" s="456"/>
      <c r="AY50" s="456"/>
      <c r="AZ50" s="456"/>
      <c r="BA50" s="456"/>
      <c r="CV50" s="456"/>
      <c r="CW50" s="456"/>
      <c r="CX50" s="456"/>
      <c r="CY50" s="456"/>
      <c r="CZ50" s="456"/>
      <c r="DA50" s="456"/>
      <c r="DB50" s="456"/>
      <c r="DC50" s="456"/>
      <c r="DD50" s="456"/>
      <c r="DE50" s="456"/>
      <c r="DF50" s="456"/>
      <c r="DG50" s="456"/>
      <c r="DH50" s="456"/>
      <c r="DI50" s="456"/>
      <c r="DJ50" s="456"/>
      <c r="DK50" s="456"/>
      <c r="DL50" s="456"/>
      <c r="DM50" s="456"/>
      <c r="DN50" s="456"/>
      <c r="DO50" s="456"/>
      <c r="DP50" s="456"/>
      <c r="DQ50" s="456"/>
    </row>
    <row r="51" spans="2:121" s="455" customFormat="1" ht="15">
      <c r="B51" s="46" t="s">
        <v>1238</v>
      </c>
      <c r="C51" s="33"/>
      <c r="D51" s="33"/>
      <c r="E51" s="33"/>
      <c r="F51" s="33"/>
      <c r="G51" s="33"/>
      <c r="H51" s="33"/>
      <c r="I51" s="33"/>
      <c r="J51" s="33"/>
      <c r="K51" s="31"/>
      <c r="L51" s="31"/>
      <c r="M51" s="31"/>
      <c r="N51" s="31"/>
      <c r="O51" s="457"/>
      <c r="P51" s="457"/>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456"/>
      <c r="AX51" s="456"/>
      <c r="AY51" s="456"/>
      <c r="AZ51" s="456"/>
      <c r="BA51" s="456"/>
      <c r="CV51" s="456"/>
      <c r="CW51" s="456"/>
      <c r="CX51" s="456"/>
      <c r="CY51" s="456"/>
      <c r="CZ51" s="456"/>
      <c r="DA51" s="456"/>
      <c r="DB51" s="456"/>
      <c r="DC51" s="456"/>
      <c r="DD51" s="456"/>
      <c r="DE51" s="456"/>
      <c r="DF51" s="456"/>
      <c r="DG51" s="456"/>
      <c r="DH51" s="456"/>
      <c r="DI51" s="456"/>
      <c r="DJ51" s="456"/>
      <c r="DK51" s="456"/>
      <c r="DL51" s="456"/>
      <c r="DM51" s="456"/>
      <c r="DN51" s="456"/>
      <c r="DO51" s="456"/>
      <c r="DP51" s="456"/>
      <c r="DQ51" s="456"/>
    </row>
    <row r="52" spans="2:121" s="455" customFormat="1" ht="15">
      <c r="B52" s="31"/>
      <c r="C52" s="31"/>
      <c r="D52" s="31"/>
      <c r="E52" s="31"/>
      <c r="F52" s="31"/>
      <c r="G52" s="31"/>
      <c r="H52" s="31"/>
      <c r="I52" s="31"/>
      <c r="J52" s="31"/>
      <c r="K52" s="31"/>
      <c r="L52" s="31"/>
      <c r="M52" s="31"/>
      <c r="N52" s="31"/>
      <c r="O52" s="457"/>
      <c r="P52" s="457"/>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69"/>
      <c r="AW52" s="456"/>
      <c r="AX52" s="456"/>
      <c r="AY52" s="456"/>
      <c r="AZ52" s="456"/>
      <c r="BA52" s="456"/>
      <c r="CV52" s="456"/>
      <c r="CW52" s="456"/>
      <c r="CX52" s="456"/>
      <c r="CY52" s="456"/>
      <c r="CZ52" s="456"/>
      <c r="DA52" s="456"/>
      <c r="DB52" s="456"/>
      <c r="DC52" s="456"/>
      <c r="DD52" s="456"/>
      <c r="DE52" s="456"/>
      <c r="DF52" s="456"/>
      <c r="DG52" s="456"/>
      <c r="DH52" s="456"/>
      <c r="DI52" s="456"/>
      <c r="DJ52" s="456"/>
      <c r="DK52" s="456"/>
      <c r="DL52" s="456"/>
      <c r="DM52" s="456"/>
      <c r="DN52" s="456"/>
      <c r="DO52" s="456"/>
      <c r="DP52" s="456"/>
      <c r="DQ52" s="456"/>
    </row>
    <row r="53" spans="2:16" ht="20.25">
      <c r="B53" s="514" t="s">
        <v>938</v>
      </c>
      <c r="C53" s="31"/>
      <c r="D53" s="31"/>
      <c r="E53" s="31"/>
      <c r="F53" s="31"/>
      <c r="G53" s="31"/>
      <c r="H53" s="31"/>
      <c r="I53" s="31"/>
      <c r="J53" s="31"/>
      <c r="K53" s="31"/>
      <c r="L53" s="31"/>
      <c r="M53" s="31"/>
      <c r="N53" s="31"/>
      <c r="O53" s="17"/>
      <c r="P53" s="17"/>
    </row>
    <row r="54" spans="1:17" ht="18.75">
      <c r="A54" s="456"/>
      <c r="B54" s="387"/>
      <c r="C54" s="387"/>
      <c r="D54" s="387"/>
      <c r="E54" s="387"/>
      <c r="F54" s="387"/>
      <c r="G54" s="387"/>
      <c r="H54" s="58" t="s">
        <v>495</v>
      </c>
      <c r="I54" s="58"/>
      <c r="J54" s="471" t="s">
        <v>495</v>
      </c>
      <c r="K54" s="471" t="s">
        <v>495</v>
      </c>
      <c r="L54" s="58" t="s">
        <v>495</v>
      </c>
      <c r="M54" s="58" t="s">
        <v>495</v>
      </c>
      <c r="N54" s="819" t="s">
        <v>525</v>
      </c>
      <c r="O54" s="819"/>
      <c r="P54" s="820" t="s">
        <v>525</v>
      </c>
      <c r="Q54" s="820"/>
    </row>
    <row r="55" spans="1:17" ht="20.25">
      <c r="A55" s="456"/>
      <c r="B55" s="516" t="s">
        <v>410</v>
      </c>
      <c r="C55" s="387"/>
      <c r="D55" s="387"/>
      <c r="E55" s="387"/>
      <c r="F55" s="387"/>
      <c r="G55" s="387"/>
      <c r="H55" s="32">
        <v>2023</v>
      </c>
      <c r="I55" s="32"/>
      <c r="J55" s="451">
        <v>2022</v>
      </c>
      <c r="K55" s="451">
        <v>2021</v>
      </c>
      <c r="L55" s="32">
        <v>2020</v>
      </c>
      <c r="M55" s="32">
        <v>2019</v>
      </c>
      <c r="N55" s="32">
        <v>2018</v>
      </c>
      <c r="O55" s="32"/>
      <c r="P55" s="57">
        <v>2017</v>
      </c>
      <c r="Q55" s="57">
        <v>2016</v>
      </c>
    </row>
    <row r="56" spans="2:17" ht="18.75">
      <c r="B56" s="511" t="s">
        <v>411</v>
      </c>
      <c r="C56" s="31"/>
      <c r="D56" s="31"/>
      <c r="E56" s="31"/>
      <c r="F56" s="31"/>
      <c r="G56" s="31"/>
      <c r="H56" s="725">
        <v>374150.01</v>
      </c>
      <c r="I56" s="725"/>
      <c r="J56" s="725">
        <v>334590.05</v>
      </c>
      <c r="K56" s="17">
        <v>259178.4</v>
      </c>
      <c r="L56" s="17">
        <v>413715.5</v>
      </c>
      <c r="M56" s="17">
        <f>1021070.77+595559.35</f>
        <v>1616630.12</v>
      </c>
      <c r="N56" s="17">
        <f>1242000+11000</f>
        <v>1253000</v>
      </c>
      <c r="O56" s="17">
        <v>226755.6</v>
      </c>
      <c r="P56" s="17">
        <v>849641.08</v>
      </c>
      <c r="Q56" s="17">
        <v>1463805.81</v>
      </c>
    </row>
    <row r="57" spans="2:17" ht="18" hidden="1">
      <c r="B57" s="511" t="s">
        <v>412</v>
      </c>
      <c r="C57" s="31"/>
      <c r="D57" s="31"/>
      <c r="E57" s="31"/>
      <c r="F57" s="31"/>
      <c r="G57" s="31"/>
      <c r="H57" s="725"/>
      <c r="I57" s="725"/>
      <c r="J57" s="725"/>
      <c r="K57" s="17">
        <v>155000</v>
      </c>
      <c r="L57" s="17">
        <v>70000</v>
      </c>
      <c r="M57" s="17">
        <v>573660</v>
      </c>
      <c r="N57" s="17">
        <v>1098045.5</v>
      </c>
      <c r="O57" s="17">
        <v>525457.25</v>
      </c>
      <c r="P57" s="17">
        <v>857000</v>
      </c>
      <c r="Q57" s="17">
        <v>355000</v>
      </c>
    </row>
    <row r="58" spans="2:121" s="4" customFormat="1" ht="18.75">
      <c r="B58" s="511" t="s">
        <v>834</v>
      </c>
      <c r="C58" s="31"/>
      <c r="D58" s="31"/>
      <c r="E58" s="31"/>
      <c r="F58" s="31"/>
      <c r="G58" s="31"/>
      <c r="H58" s="725">
        <v>410000</v>
      </c>
      <c r="I58" s="725"/>
      <c r="J58" s="725">
        <v>407500</v>
      </c>
      <c r="K58" s="17"/>
      <c r="L58" s="17"/>
      <c r="M58" s="17"/>
      <c r="N58" s="17"/>
      <c r="O58" s="17"/>
      <c r="P58" s="17"/>
      <c r="Q58" s="17"/>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8"/>
      <c r="AX58" s="168"/>
      <c r="AY58" s="168"/>
      <c r="AZ58" s="168"/>
      <c r="BA58" s="168"/>
      <c r="CV58" s="456"/>
      <c r="CW58" s="456"/>
      <c r="CX58" s="456"/>
      <c r="CY58" s="456"/>
      <c r="CZ58" s="456"/>
      <c r="DA58" s="456"/>
      <c r="DB58" s="456"/>
      <c r="DC58" s="456"/>
      <c r="DD58" s="456"/>
      <c r="DE58" s="456"/>
      <c r="DF58" s="456"/>
      <c r="DG58" s="456"/>
      <c r="DH58" s="456"/>
      <c r="DI58" s="456"/>
      <c r="DJ58" s="456"/>
      <c r="DK58" s="456"/>
      <c r="DL58" s="456"/>
      <c r="DM58" s="456"/>
      <c r="DN58" s="456"/>
      <c r="DO58" s="456"/>
      <c r="DP58" s="456"/>
      <c r="DQ58" s="456"/>
    </row>
    <row r="59" spans="2:17" ht="18" hidden="1">
      <c r="B59" s="511" t="s">
        <v>413</v>
      </c>
      <c r="C59" s="31"/>
      <c r="D59" s="31"/>
      <c r="E59" s="31"/>
      <c r="F59" s="31"/>
      <c r="G59" s="31"/>
      <c r="H59" s="725"/>
      <c r="I59" s="725"/>
      <c r="J59" s="725"/>
      <c r="K59" s="17"/>
      <c r="L59" s="17">
        <v>320000</v>
      </c>
      <c r="M59" s="17"/>
      <c r="N59" s="17">
        <v>20000</v>
      </c>
      <c r="O59" s="17"/>
      <c r="P59" s="17"/>
      <c r="Q59" s="17"/>
    </row>
    <row r="60" spans="2:17" ht="18.75">
      <c r="B60" s="511" t="s">
        <v>422</v>
      </c>
      <c r="C60" s="31"/>
      <c r="D60" s="31"/>
      <c r="E60" s="31"/>
      <c r="F60" s="31"/>
      <c r="G60" s="31"/>
      <c r="H60" s="725"/>
      <c r="I60" s="725"/>
      <c r="J60" s="703">
        <v>1762.51</v>
      </c>
      <c r="K60" s="13"/>
      <c r="L60" s="13">
        <v>622.05</v>
      </c>
      <c r="M60" s="35"/>
      <c r="N60" s="35">
        <v>15704.63</v>
      </c>
      <c r="O60" s="17">
        <v>2475000</v>
      </c>
      <c r="P60" s="17"/>
      <c r="Q60" s="17">
        <v>2700000</v>
      </c>
    </row>
    <row r="61" spans="2:17" ht="18.75">
      <c r="B61" s="511" t="s">
        <v>414</v>
      </c>
      <c r="C61" s="31"/>
      <c r="D61" s="31"/>
      <c r="E61" s="31"/>
      <c r="F61" s="31"/>
      <c r="G61" s="31"/>
      <c r="H61" s="729">
        <v>10663</v>
      </c>
      <c r="I61" s="729"/>
      <c r="J61" s="729">
        <v>8020</v>
      </c>
      <c r="K61" s="35"/>
      <c r="L61" s="35"/>
      <c r="M61" s="91"/>
      <c r="N61" s="35"/>
      <c r="O61" s="35">
        <v>121000</v>
      </c>
      <c r="P61" s="35">
        <v>13500</v>
      </c>
      <c r="Q61" s="35">
        <v>529473.22</v>
      </c>
    </row>
    <row r="62" spans="2:17" ht="17.25" customHeight="1" thickBot="1">
      <c r="B62" s="31"/>
      <c r="C62" s="31"/>
      <c r="D62" s="31"/>
      <c r="E62" s="31"/>
      <c r="F62" s="31"/>
      <c r="G62" s="31"/>
      <c r="H62" s="744">
        <f>SUM(H56:H61)</f>
        <v>794813.01</v>
      </c>
      <c r="I62" s="744"/>
      <c r="J62" s="744">
        <f>SUM(J56:J61)</f>
        <v>751872.56</v>
      </c>
      <c r="K62" s="83">
        <f>SUM(K56:K60)</f>
        <v>414178.4</v>
      </c>
      <c r="L62" s="83">
        <f>SUM(L56:L60)</f>
        <v>804337.55</v>
      </c>
      <c r="M62" s="83">
        <f>SUM(M56:M61)</f>
        <v>2190290.12</v>
      </c>
      <c r="N62" s="83">
        <f>SUM(N56:N61)</f>
        <v>2386750.13</v>
      </c>
      <c r="O62" s="83">
        <f>SUM(O56:O61)</f>
        <v>3348212.85</v>
      </c>
      <c r="P62" s="83">
        <f>SUM(P56:P61)</f>
        <v>1720141.08</v>
      </c>
      <c r="Q62" s="45">
        <f>SUM(Q56:Q61)</f>
        <v>5048279.03</v>
      </c>
    </row>
    <row r="63" spans="2:16" ht="15.75" thickTop="1">
      <c r="B63" s="31"/>
      <c r="C63" s="31"/>
      <c r="D63" s="31"/>
      <c r="E63" s="31"/>
      <c r="F63" s="31"/>
      <c r="G63" s="31"/>
      <c r="H63" s="720"/>
      <c r="I63" s="720"/>
      <c r="J63" s="720"/>
      <c r="K63" s="31"/>
      <c r="L63" s="31"/>
      <c r="M63" s="31"/>
      <c r="N63" s="31"/>
      <c r="O63" s="17"/>
      <c r="P63" s="17"/>
    </row>
    <row r="64" spans="2:16" ht="14.25" hidden="1">
      <c r="B64" s="31"/>
      <c r="C64" s="31"/>
      <c r="D64" s="31"/>
      <c r="E64" s="31"/>
      <c r="F64" s="31"/>
      <c r="G64" s="31"/>
      <c r="H64" s="720"/>
      <c r="I64" s="720"/>
      <c r="J64" s="720"/>
      <c r="K64" s="31"/>
      <c r="L64" s="31"/>
      <c r="M64" s="31"/>
      <c r="N64" s="31"/>
      <c r="O64" s="17"/>
      <c r="P64" s="17"/>
    </row>
    <row r="65" spans="2:16" ht="14.25" hidden="1">
      <c r="B65" s="31"/>
      <c r="C65" s="31"/>
      <c r="D65" s="31"/>
      <c r="E65" s="31"/>
      <c r="F65" s="31"/>
      <c r="G65" s="31"/>
      <c r="H65" s="720"/>
      <c r="I65" s="720"/>
      <c r="J65" s="720"/>
      <c r="K65" s="31"/>
      <c r="L65" s="31"/>
      <c r="M65" s="31"/>
      <c r="N65" s="31"/>
      <c r="O65" s="17"/>
      <c r="P65" s="17"/>
    </row>
    <row r="66" spans="2:16" ht="18" hidden="1">
      <c r="B66" s="34" t="s">
        <v>415</v>
      </c>
      <c r="C66" s="31"/>
      <c r="D66" s="31"/>
      <c r="E66" s="31"/>
      <c r="F66" s="31"/>
      <c r="G66" s="31"/>
      <c r="H66" s="720"/>
      <c r="I66" s="720"/>
      <c r="J66" s="720"/>
      <c r="K66" s="31"/>
      <c r="L66" s="31"/>
      <c r="M66" s="31"/>
      <c r="N66" s="31"/>
      <c r="O66" s="17"/>
      <c r="P66" s="17"/>
    </row>
    <row r="67" spans="2:16" ht="14.25" hidden="1">
      <c r="B67" s="31" t="s">
        <v>411</v>
      </c>
      <c r="C67" s="31"/>
      <c r="D67" s="31"/>
      <c r="E67" s="31"/>
      <c r="F67" s="31"/>
      <c r="G67" s="31"/>
      <c r="H67" s="720"/>
      <c r="I67" s="720"/>
      <c r="J67" s="720"/>
      <c r="K67" s="31"/>
      <c r="L67" s="31"/>
      <c r="M67" s="31"/>
      <c r="N67" s="31"/>
      <c r="O67" s="17"/>
      <c r="P67" s="17"/>
    </row>
    <row r="68" spans="2:16" ht="14.25" hidden="1">
      <c r="B68" s="31" t="s">
        <v>416</v>
      </c>
      <c r="C68" s="31"/>
      <c r="D68" s="31"/>
      <c r="E68" s="31"/>
      <c r="F68" s="31"/>
      <c r="G68" s="31"/>
      <c r="H68" s="720"/>
      <c r="I68" s="720"/>
      <c r="J68" s="720"/>
      <c r="K68" s="31"/>
      <c r="L68" s="31"/>
      <c r="M68" s="31"/>
      <c r="N68" s="31"/>
      <c r="O68" s="17"/>
      <c r="P68" s="17"/>
    </row>
    <row r="69" spans="2:16" ht="14.25" hidden="1">
      <c r="B69" s="31" t="s">
        <v>417</v>
      </c>
      <c r="C69" s="31"/>
      <c r="D69" s="31"/>
      <c r="E69" s="31"/>
      <c r="F69" s="31"/>
      <c r="G69" s="31"/>
      <c r="H69" s="720"/>
      <c r="I69" s="720"/>
      <c r="J69" s="720"/>
      <c r="K69" s="31"/>
      <c r="L69" s="31"/>
      <c r="M69" s="31"/>
      <c r="N69" s="31"/>
      <c r="O69" s="17"/>
      <c r="P69" s="17"/>
    </row>
    <row r="70" spans="2:16" ht="14.25" hidden="1">
      <c r="B70" s="31"/>
      <c r="C70" s="31"/>
      <c r="D70" s="31"/>
      <c r="E70" s="31"/>
      <c r="F70" s="31"/>
      <c r="G70" s="31"/>
      <c r="H70" s="720"/>
      <c r="I70" s="720"/>
      <c r="J70" s="720"/>
      <c r="K70" s="31"/>
      <c r="L70" s="31"/>
      <c r="M70" s="31"/>
      <c r="N70" s="31"/>
      <c r="O70" s="17"/>
      <c r="P70" s="17"/>
    </row>
    <row r="71" spans="1:16" ht="20.25">
      <c r="A71" s="456"/>
      <c r="B71" s="516" t="s">
        <v>418</v>
      </c>
      <c r="C71" s="387"/>
      <c r="D71" s="31"/>
      <c r="E71" s="31"/>
      <c r="F71" s="31"/>
      <c r="G71" s="31"/>
      <c r="H71" s="720"/>
      <c r="I71" s="720"/>
      <c r="J71" s="720"/>
      <c r="K71" s="31"/>
      <c r="L71" s="31"/>
      <c r="M71" s="31"/>
      <c r="N71" s="31"/>
      <c r="O71" s="17"/>
      <c r="P71" s="17"/>
    </row>
    <row r="72" spans="2:17" ht="18.75">
      <c r="B72" s="511" t="s">
        <v>419</v>
      </c>
      <c r="C72" s="31"/>
      <c r="D72" s="31"/>
      <c r="E72" s="31"/>
      <c r="F72" s="31"/>
      <c r="G72" s="31"/>
      <c r="H72" s="725">
        <v>521363.24</v>
      </c>
      <c r="I72" s="725"/>
      <c r="J72" s="725">
        <v>522991.21</v>
      </c>
      <c r="K72" s="17">
        <v>539545.13</v>
      </c>
      <c r="L72" s="17">
        <v>629962.96</v>
      </c>
      <c r="M72" s="13">
        <v>0</v>
      </c>
      <c r="N72" s="13">
        <v>720343.9</v>
      </c>
      <c r="O72" s="17">
        <v>789788.05</v>
      </c>
      <c r="P72" s="17">
        <v>815572.5</v>
      </c>
      <c r="Q72" s="17">
        <v>260989.82</v>
      </c>
    </row>
    <row r="73" spans="2:16" ht="14.25" hidden="1">
      <c r="B73" s="31" t="s">
        <v>420</v>
      </c>
      <c r="C73" s="31"/>
      <c r="D73" s="31"/>
      <c r="E73" s="31"/>
      <c r="F73" s="31"/>
      <c r="G73" s="31"/>
      <c r="H73" s="720"/>
      <c r="I73" s="720"/>
      <c r="J73" s="725"/>
      <c r="K73" s="31"/>
      <c r="L73" s="17"/>
      <c r="M73" s="13">
        <v>0</v>
      </c>
      <c r="N73" s="31"/>
      <c r="O73" s="17"/>
      <c r="P73" s="17"/>
    </row>
    <row r="74" spans="2:16" ht="14.25" hidden="1">
      <c r="B74" s="31" t="s">
        <v>421</v>
      </c>
      <c r="C74" s="31"/>
      <c r="D74" s="31"/>
      <c r="E74" s="31"/>
      <c r="F74" s="31"/>
      <c r="G74" s="31"/>
      <c r="H74" s="720"/>
      <c r="I74" s="720"/>
      <c r="J74" s="725"/>
      <c r="K74" s="31"/>
      <c r="L74" s="17"/>
      <c r="M74" s="31"/>
      <c r="N74" s="31"/>
      <c r="O74" s="17"/>
      <c r="P74" s="17"/>
    </row>
    <row r="75" spans="2:17" ht="15.75" thickBot="1">
      <c r="B75" s="31"/>
      <c r="C75" s="31"/>
      <c r="D75" s="31"/>
      <c r="E75" s="31"/>
      <c r="F75" s="31"/>
      <c r="G75" s="31"/>
      <c r="H75" s="745">
        <f>SUM(H72:H74)</f>
        <v>521363.24</v>
      </c>
      <c r="I75" s="745"/>
      <c r="J75" s="745">
        <f aca="true" t="shared" si="1" ref="J75:Q75">SUM(J72:J74)</f>
        <v>522991.21</v>
      </c>
      <c r="K75" s="80">
        <f t="shared" si="1"/>
        <v>539545.13</v>
      </c>
      <c r="L75" s="80">
        <f t="shared" si="1"/>
        <v>629962.96</v>
      </c>
      <c r="M75" s="80">
        <f t="shared" si="1"/>
        <v>0</v>
      </c>
      <c r="N75" s="80">
        <f t="shared" si="1"/>
        <v>720343.9</v>
      </c>
      <c r="O75" s="80">
        <f t="shared" si="1"/>
        <v>789788.05</v>
      </c>
      <c r="P75" s="80">
        <f t="shared" si="1"/>
        <v>815572.5</v>
      </c>
      <c r="Q75" s="36">
        <f t="shared" si="1"/>
        <v>260989.82</v>
      </c>
    </row>
    <row r="76" spans="2:17" ht="15.75" thickTop="1">
      <c r="B76" s="31"/>
      <c r="C76" s="31"/>
      <c r="D76" s="31"/>
      <c r="E76" s="31"/>
      <c r="F76" s="31"/>
      <c r="G76" s="31"/>
      <c r="H76" s="720"/>
      <c r="I76" s="720"/>
      <c r="J76" s="725"/>
      <c r="K76" s="31"/>
      <c r="L76" s="31"/>
      <c r="M76" s="31"/>
      <c r="N76" s="81"/>
      <c r="O76" s="84"/>
      <c r="P76" s="84"/>
      <c r="Q76" s="4"/>
    </row>
    <row r="77" spans="1:47" ht="15.75" thickBot="1">
      <c r="A77" s="8"/>
      <c r="B77" s="82" t="s">
        <v>562</v>
      </c>
      <c r="C77" s="82"/>
      <c r="D77" s="46"/>
      <c r="E77" s="46"/>
      <c r="F77" s="46"/>
      <c r="G77" s="46"/>
      <c r="H77" s="746">
        <f>+H62+H75</f>
        <v>1316176.25</v>
      </c>
      <c r="I77" s="746"/>
      <c r="J77" s="746">
        <f aca="true" t="shared" si="2" ref="J77:Q77">+J62+J75</f>
        <v>1274863.77</v>
      </c>
      <c r="K77" s="42">
        <f t="shared" si="2"/>
        <v>953723.53</v>
      </c>
      <c r="L77" s="42">
        <f t="shared" si="2"/>
        <v>1434300.51</v>
      </c>
      <c r="M77" s="42">
        <f t="shared" si="2"/>
        <v>2190290.12</v>
      </c>
      <c r="N77" s="42">
        <f t="shared" si="2"/>
        <v>3107094.03</v>
      </c>
      <c r="O77" s="42">
        <f t="shared" si="2"/>
        <v>4138000.9000000004</v>
      </c>
      <c r="P77" s="42">
        <f t="shared" si="2"/>
        <v>2535713.58</v>
      </c>
      <c r="Q77" s="47">
        <f t="shared" si="2"/>
        <v>5309268.850000001</v>
      </c>
      <c r="AP77" s="631">
        <v>1029740.7999999998</v>
      </c>
      <c r="AQ77" s="628"/>
      <c r="AR77" s="628"/>
      <c r="AS77" s="628"/>
      <c r="AT77" s="628"/>
      <c r="AU77" s="630">
        <f>H77-AP77</f>
        <v>286435.4500000002</v>
      </c>
    </row>
    <row r="78" spans="2:121" s="455" customFormat="1" ht="15.75" thickTop="1">
      <c r="B78" s="31"/>
      <c r="C78" s="31"/>
      <c r="D78" s="31"/>
      <c r="E78" s="31"/>
      <c r="F78" s="31"/>
      <c r="G78" s="31"/>
      <c r="H78" s="720"/>
      <c r="I78" s="720"/>
      <c r="J78" s="720"/>
      <c r="K78" s="31"/>
      <c r="L78" s="31"/>
      <c r="M78" s="31"/>
      <c r="N78" s="31"/>
      <c r="O78" s="457"/>
      <c r="P78" s="457"/>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456"/>
      <c r="AX78" s="456"/>
      <c r="AY78" s="456"/>
      <c r="AZ78" s="456"/>
      <c r="BA78" s="456"/>
      <c r="CV78" s="456"/>
      <c r="CW78" s="456"/>
      <c r="CX78" s="456"/>
      <c r="CY78" s="456"/>
      <c r="CZ78" s="456"/>
      <c r="DA78" s="456"/>
      <c r="DB78" s="456"/>
      <c r="DC78" s="456"/>
      <c r="DD78" s="456"/>
      <c r="DE78" s="456"/>
      <c r="DF78" s="456"/>
      <c r="DG78" s="456"/>
      <c r="DH78" s="456"/>
      <c r="DI78" s="456"/>
      <c r="DJ78" s="456"/>
      <c r="DK78" s="456"/>
      <c r="DL78" s="456"/>
      <c r="DM78" s="456"/>
      <c r="DN78" s="456"/>
      <c r="DO78" s="456"/>
      <c r="DP78" s="456"/>
      <c r="DQ78" s="456"/>
    </row>
    <row r="79" spans="2:121" s="455" customFormat="1" ht="15">
      <c r="B79" s="31"/>
      <c r="C79" s="31"/>
      <c r="D79" s="31"/>
      <c r="E79" s="31"/>
      <c r="F79" s="31"/>
      <c r="G79" s="31"/>
      <c r="H79" s="720"/>
      <c r="I79" s="720"/>
      <c r="J79" s="720"/>
      <c r="K79" s="31"/>
      <c r="L79" s="31"/>
      <c r="M79" s="31"/>
      <c r="N79" s="31"/>
      <c r="O79" s="457"/>
      <c r="P79" s="457"/>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456"/>
      <c r="AX79" s="456"/>
      <c r="AY79" s="456"/>
      <c r="AZ79" s="456"/>
      <c r="BA79" s="456"/>
      <c r="CV79" s="456"/>
      <c r="CW79" s="456"/>
      <c r="CX79" s="456"/>
      <c r="CY79" s="456"/>
      <c r="CZ79" s="456"/>
      <c r="DA79" s="456"/>
      <c r="DB79" s="456"/>
      <c r="DC79" s="456"/>
      <c r="DD79" s="456"/>
      <c r="DE79" s="456"/>
      <c r="DF79" s="456"/>
      <c r="DG79" s="456"/>
      <c r="DH79" s="456"/>
      <c r="DI79" s="456"/>
      <c r="DJ79" s="456"/>
      <c r="DK79" s="456"/>
      <c r="DL79" s="456"/>
      <c r="DM79" s="456"/>
      <c r="DN79" s="456"/>
      <c r="DO79" s="456"/>
      <c r="DP79" s="456"/>
      <c r="DQ79" s="456"/>
    </row>
    <row r="80" spans="2:16" ht="20.25">
      <c r="B80" s="514" t="s">
        <v>586</v>
      </c>
      <c r="C80" s="511"/>
      <c r="D80" s="31"/>
      <c r="E80" s="31"/>
      <c r="F80" s="31"/>
      <c r="G80" s="31"/>
      <c r="H80" s="31"/>
      <c r="I80" s="31"/>
      <c r="J80" s="31"/>
      <c r="K80" s="31"/>
      <c r="L80" s="31"/>
      <c r="M80" s="31"/>
      <c r="N80" s="31"/>
      <c r="O80" s="17"/>
      <c r="P80" s="17"/>
    </row>
    <row r="81" spans="2:17" ht="18.75">
      <c r="B81" s="511"/>
      <c r="C81" s="511"/>
      <c r="D81" s="31"/>
      <c r="E81" s="31"/>
      <c r="F81" s="31"/>
      <c r="G81" s="31"/>
      <c r="H81" s="58" t="s">
        <v>495</v>
      </c>
      <c r="I81" s="58"/>
      <c r="J81" s="58" t="s">
        <v>495</v>
      </c>
      <c r="K81" s="58" t="s">
        <v>495</v>
      </c>
      <c r="L81" s="58" t="s">
        <v>495</v>
      </c>
      <c r="M81" s="58" t="s">
        <v>495</v>
      </c>
      <c r="N81" s="819" t="s">
        <v>525</v>
      </c>
      <c r="O81" s="819"/>
      <c r="P81" s="820" t="s">
        <v>525</v>
      </c>
      <c r="Q81" s="820"/>
    </row>
    <row r="82" spans="2:17" ht="18.75">
      <c r="B82" s="511"/>
      <c r="C82" s="511"/>
      <c r="D82" s="31"/>
      <c r="E82" s="31"/>
      <c r="F82" s="31"/>
      <c r="G82" s="31"/>
      <c r="H82" s="32">
        <v>2023</v>
      </c>
      <c r="I82" s="32"/>
      <c r="J82" s="32">
        <v>2022</v>
      </c>
      <c r="K82" s="32">
        <v>2021</v>
      </c>
      <c r="L82" s="32">
        <v>2020</v>
      </c>
      <c r="M82" s="32">
        <v>2019</v>
      </c>
      <c r="N82" s="32">
        <v>2018</v>
      </c>
      <c r="O82" s="32"/>
      <c r="P82" s="57">
        <v>2017</v>
      </c>
      <c r="Q82" s="57">
        <v>2016</v>
      </c>
    </row>
    <row r="83" spans="2:16" ht="20.25">
      <c r="B83" s="516" t="s">
        <v>0</v>
      </c>
      <c r="C83" s="509"/>
      <c r="D83" s="387"/>
      <c r="E83" s="387"/>
      <c r="F83" s="387"/>
      <c r="G83" s="387"/>
      <c r="H83" s="387"/>
      <c r="I83" s="387"/>
      <c r="J83" s="387"/>
      <c r="K83" s="387"/>
      <c r="L83" s="31"/>
      <c r="M83" s="31"/>
      <c r="N83" s="31"/>
      <c r="O83" s="17"/>
      <c r="P83" s="17"/>
    </row>
    <row r="84" spans="2:42" ht="18.75">
      <c r="B84" s="511" t="s">
        <v>356</v>
      </c>
      <c r="C84" s="511"/>
      <c r="D84" s="31"/>
      <c r="E84" s="31"/>
      <c r="F84" s="31"/>
      <c r="G84" s="31"/>
      <c r="H84" s="664">
        <v>1764270.74</v>
      </c>
      <c r="I84" s="725"/>
      <c r="J84" s="725">
        <v>15217759.87</v>
      </c>
      <c r="K84" s="17">
        <v>13754462.72</v>
      </c>
      <c r="L84" s="17">
        <v>11263522.55</v>
      </c>
      <c r="M84" s="17">
        <v>14224921.55</v>
      </c>
      <c r="N84" s="17">
        <v>11526171.88</v>
      </c>
      <c r="O84" s="17">
        <v>13501445.45</v>
      </c>
      <c r="P84" s="17">
        <v>12741489</v>
      </c>
      <c r="Q84" s="17">
        <v>11912161.35</v>
      </c>
      <c r="AP84" s="457">
        <v>927565.8200000001</v>
      </c>
    </row>
    <row r="85" spans="2:42" ht="18" hidden="1">
      <c r="B85" s="511" t="s">
        <v>357</v>
      </c>
      <c r="C85" s="511"/>
      <c r="D85" s="31"/>
      <c r="E85" s="31"/>
      <c r="F85" s="31"/>
      <c r="G85" s="31"/>
      <c r="H85" s="664"/>
      <c r="I85" s="725"/>
      <c r="J85" s="725"/>
      <c r="K85" s="17"/>
      <c r="L85" s="17"/>
      <c r="M85" s="17"/>
      <c r="N85" s="17"/>
      <c r="O85" s="17"/>
      <c r="P85" s="17"/>
      <c r="Q85" s="17"/>
      <c r="AP85" s="457"/>
    </row>
    <row r="86" spans="2:42" ht="18" hidden="1">
      <c r="B86" s="511" t="s">
        <v>358</v>
      </c>
      <c r="C86" s="511"/>
      <c r="D86" s="31"/>
      <c r="E86" s="31"/>
      <c r="F86" s="31"/>
      <c r="G86" s="31"/>
      <c r="H86" s="664"/>
      <c r="I86" s="725"/>
      <c r="J86" s="725"/>
      <c r="K86" s="17"/>
      <c r="L86" s="17"/>
      <c r="M86" s="17"/>
      <c r="N86" s="17"/>
      <c r="O86" s="17"/>
      <c r="P86" s="17"/>
      <c r="Q86" s="17"/>
      <c r="AP86" s="457"/>
    </row>
    <row r="87" spans="2:42" ht="18.75">
      <c r="B87" s="511" t="s">
        <v>359</v>
      </c>
      <c r="C87" s="511"/>
      <c r="D87" s="31"/>
      <c r="E87" s="31"/>
      <c r="F87" s="31"/>
      <c r="G87" s="31"/>
      <c r="H87" s="664">
        <v>141122.98</v>
      </c>
      <c r="I87" s="725"/>
      <c r="J87" s="725">
        <v>166099.7</v>
      </c>
      <c r="K87" s="17">
        <v>94784.51</v>
      </c>
      <c r="L87" s="17">
        <v>84300.58</v>
      </c>
      <c r="M87" s="17">
        <v>49530.99</v>
      </c>
      <c r="N87" s="17">
        <v>197636.82</v>
      </c>
      <c r="O87" s="17">
        <v>43942.41</v>
      </c>
      <c r="P87" s="17">
        <v>79901.01</v>
      </c>
      <c r="Q87" s="17">
        <v>66799.03</v>
      </c>
      <c r="AP87" s="457">
        <v>160521</v>
      </c>
    </row>
    <row r="88" spans="2:17" ht="18" hidden="1">
      <c r="B88" s="511" t="s">
        <v>360</v>
      </c>
      <c r="C88" s="511"/>
      <c r="D88" s="31"/>
      <c r="E88" s="31"/>
      <c r="F88" s="31"/>
      <c r="G88" s="31"/>
      <c r="H88" s="664"/>
      <c r="I88" s="725"/>
      <c r="J88" s="725"/>
      <c r="K88" s="17"/>
      <c r="L88" s="17"/>
      <c r="M88" s="17"/>
      <c r="N88" s="17"/>
      <c r="O88" s="17"/>
      <c r="P88" s="17"/>
      <c r="Q88" s="17"/>
    </row>
    <row r="89" spans="2:17" ht="18" hidden="1">
      <c r="B89" s="511" t="s">
        <v>361</v>
      </c>
      <c r="C89" s="511"/>
      <c r="D89" s="31"/>
      <c r="E89" s="31"/>
      <c r="F89" s="31"/>
      <c r="G89" s="31"/>
      <c r="H89" s="664"/>
      <c r="I89" s="725"/>
      <c r="J89" s="725"/>
      <c r="K89" s="17"/>
      <c r="L89" s="17"/>
      <c r="M89" s="17"/>
      <c r="N89" s="17"/>
      <c r="O89" s="17"/>
      <c r="P89" s="17"/>
      <c r="Q89" s="17">
        <v>2279.6</v>
      </c>
    </row>
    <row r="90" spans="2:17" ht="18" hidden="1">
      <c r="B90" s="511" t="s">
        <v>362</v>
      </c>
      <c r="C90" s="511"/>
      <c r="D90" s="31"/>
      <c r="E90" s="31"/>
      <c r="F90" s="31"/>
      <c r="G90" s="31"/>
      <c r="H90" s="664"/>
      <c r="I90" s="725"/>
      <c r="J90" s="725"/>
      <c r="K90" s="17"/>
      <c r="L90" s="17"/>
      <c r="M90" s="17"/>
      <c r="N90" s="17"/>
      <c r="O90" s="17"/>
      <c r="P90" s="17"/>
      <c r="Q90" s="17"/>
    </row>
    <row r="91" spans="2:17" ht="18" hidden="1">
      <c r="B91" s="511" t="s">
        <v>363</v>
      </c>
      <c r="C91" s="511"/>
      <c r="D91" s="31"/>
      <c r="E91" s="31"/>
      <c r="F91" s="31"/>
      <c r="G91" s="31"/>
      <c r="H91" s="664"/>
      <c r="I91" s="725"/>
      <c r="J91" s="725"/>
      <c r="K91" s="17"/>
      <c r="L91" s="17"/>
      <c r="M91" s="17"/>
      <c r="N91" s="17"/>
      <c r="O91" s="17"/>
      <c r="P91" s="17"/>
      <c r="Q91" s="17"/>
    </row>
    <row r="92" spans="2:17" ht="18.75">
      <c r="B92" s="511" t="s">
        <v>364</v>
      </c>
      <c r="C92" s="511"/>
      <c r="D92" s="31"/>
      <c r="E92" s="31"/>
      <c r="F92" s="31"/>
      <c r="G92" s="31"/>
      <c r="H92" s="664">
        <v>22570.88</v>
      </c>
      <c r="I92" s="725"/>
      <c r="J92" s="725">
        <v>1538.57</v>
      </c>
      <c r="K92" s="17"/>
      <c r="L92" s="17"/>
      <c r="M92" s="17"/>
      <c r="N92" s="17">
        <v>1486.8</v>
      </c>
      <c r="O92" s="17"/>
      <c r="P92" s="17">
        <v>106.2</v>
      </c>
      <c r="Q92" s="17">
        <v>4330</v>
      </c>
    </row>
    <row r="93" spans="2:42" ht="18.75">
      <c r="B93" s="511" t="s">
        <v>365</v>
      </c>
      <c r="C93" s="511"/>
      <c r="D93" s="31"/>
      <c r="E93" s="31"/>
      <c r="F93" s="31"/>
      <c r="G93" s="31"/>
      <c r="H93" s="664">
        <v>13496.77</v>
      </c>
      <c r="I93" s="725"/>
      <c r="J93" s="725">
        <v>168048.12</v>
      </c>
      <c r="K93" s="17">
        <v>70392.25</v>
      </c>
      <c r="L93" s="17">
        <v>190548.56</v>
      </c>
      <c r="M93" s="17">
        <v>365312.04</v>
      </c>
      <c r="N93" s="17">
        <v>24103.51</v>
      </c>
      <c r="O93" s="17">
        <v>63657.25</v>
      </c>
      <c r="P93" s="17">
        <v>155858.6</v>
      </c>
      <c r="Q93" s="17">
        <v>65188.49</v>
      </c>
      <c r="AP93" s="506">
        <f>H84+H87</f>
        <v>1905393.72</v>
      </c>
    </row>
    <row r="94" spans="2:42" ht="18.75">
      <c r="B94" s="511" t="s">
        <v>366</v>
      </c>
      <c r="C94" s="511"/>
      <c r="D94" s="31"/>
      <c r="E94" s="31"/>
      <c r="F94" s="31"/>
      <c r="G94" s="31"/>
      <c r="H94" s="664">
        <v>177655</v>
      </c>
      <c r="I94" s="725"/>
      <c r="J94" s="725">
        <v>229153.64</v>
      </c>
      <c r="K94" s="17">
        <v>172058.81</v>
      </c>
      <c r="L94" s="17">
        <v>68827.82</v>
      </c>
      <c r="M94" s="17">
        <v>835793.6</v>
      </c>
      <c r="N94" s="17">
        <v>4818.01</v>
      </c>
      <c r="O94" s="17">
        <v>65974.98</v>
      </c>
      <c r="P94" s="17">
        <v>77606.7</v>
      </c>
      <c r="Q94" s="17">
        <v>124710.03</v>
      </c>
      <c r="AP94" s="506">
        <f>H92+H93+H94</f>
        <v>213722.65</v>
      </c>
    </row>
    <row r="95" spans="2:17" ht="18" hidden="1">
      <c r="B95" s="511" t="s">
        <v>367</v>
      </c>
      <c r="C95" s="511"/>
      <c r="D95" s="31"/>
      <c r="E95" s="31"/>
      <c r="F95" s="31"/>
      <c r="G95" s="31"/>
      <c r="H95" s="664"/>
      <c r="I95" s="725"/>
      <c r="J95" s="725"/>
      <c r="K95" s="17"/>
      <c r="L95" s="17"/>
      <c r="M95" s="17"/>
      <c r="N95" s="17"/>
      <c r="O95" s="17"/>
      <c r="P95" s="17"/>
      <c r="Q95" s="17"/>
    </row>
    <row r="96" spans="2:17" ht="18" hidden="1">
      <c r="B96" s="511" t="s">
        <v>368</v>
      </c>
      <c r="C96" s="511"/>
      <c r="D96" s="31"/>
      <c r="E96" s="31"/>
      <c r="F96" s="31"/>
      <c r="G96" s="31"/>
      <c r="H96" s="664"/>
      <c r="I96" s="725"/>
      <c r="J96" s="725"/>
      <c r="K96" s="17"/>
      <c r="L96" s="17"/>
      <c r="M96" s="17"/>
      <c r="N96" s="17"/>
      <c r="O96" s="17">
        <v>160209</v>
      </c>
      <c r="P96" s="17"/>
      <c r="Q96" s="17"/>
    </row>
    <row r="97" spans="2:42" ht="18.75">
      <c r="B97" s="511" t="s">
        <v>369</v>
      </c>
      <c r="C97" s="511"/>
      <c r="D97" s="31"/>
      <c r="E97" s="31"/>
      <c r="F97" s="31"/>
      <c r="G97" s="31"/>
      <c r="H97" s="664">
        <v>873258.6</v>
      </c>
      <c r="I97" s="725"/>
      <c r="J97" s="725">
        <v>1949431.47</v>
      </c>
      <c r="K97" s="17">
        <v>1890757.47</v>
      </c>
      <c r="L97" s="17">
        <v>1295164.55</v>
      </c>
      <c r="M97" s="17">
        <v>2201607.02</v>
      </c>
      <c r="N97" s="17">
        <v>2882775.09</v>
      </c>
      <c r="O97" s="17">
        <v>1571106.66</v>
      </c>
      <c r="P97" s="17">
        <v>3681571.07</v>
      </c>
      <c r="Q97" s="17">
        <v>2501367.92</v>
      </c>
      <c r="AP97" s="506">
        <f>H97+H98+H99</f>
        <v>1710613.5799999998</v>
      </c>
    </row>
    <row r="98" spans="2:17" ht="18.75">
      <c r="B98" s="511" t="s">
        <v>370</v>
      </c>
      <c r="C98" s="511"/>
      <c r="D98" s="31"/>
      <c r="E98" s="31"/>
      <c r="F98" s="31"/>
      <c r="G98" s="31"/>
      <c r="H98" s="664">
        <v>785288.07</v>
      </c>
      <c r="I98" s="725"/>
      <c r="J98" s="725">
        <v>553385.13</v>
      </c>
      <c r="K98" s="17">
        <v>199964.63</v>
      </c>
      <c r="L98" s="17">
        <v>64521.76</v>
      </c>
      <c r="M98" s="17">
        <v>151717.49</v>
      </c>
      <c r="N98" s="17">
        <v>196813.78</v>
      </c>
      <c r="O98" s="17">
        <v>50733.6</v>
      </c>
      <c r="P98" s="17">
        <v>128791.2</v>
      </c>
      <c r="Q98" s="17">
        <v>4171</v>
      </c>
    </row>
    <row r="99" spans="2:42" ht="18.75">
      <c r="B99" s="511" t="s">
        <v>371</v>
      </c>
      <c r="C99" s="511"/>
      <c r="D99" s="31"/>
      <c r="E99" s="31"/>
      <c r="F99" s="31"/>
      <c r="G99" s="31"/>
      <c r="H99" s="664">
        <v>52066.91</v>
      </c>
      <c r="I99" s="725"/>
      <c r="J99" s="725">
        <v>1110</v>
      </c>
      <c r="K99" s="17">
        <v>750</v>
      </c>
      <c r="L99" s="17">
        <v>31537.5</v>
      </c>
      <c r="M99" s="17">
        <v>8250</v>
      </c>
      <c r="N99" s="17">
        <v>25000</v>
      </c>
      <c r="O99" s="17">
        <v>40081.1</v>
      </c>
      <c r="P99" s="17">
        <v>58418.4</v>
      </c>
      <c r="Q99" s="17">
        <v>26400</v>
      </c>
      <c r="AP99" s="506">
        <f>H105+H106+H108+H110+H114</f>
        <v>7977042.52</v>
      </c>
    </row>
    <row r="100" spans="2:17" ht="18" hidden="1">
      <c r="B100" s="511" t="s">
        <v>372</v>
      </c>
      <c r="C100" s="511"/>
      <c r="D100" s="31"/>
      <c r="E100" s="31"/>
      <c r="F100" s="31"/>
      <c r="G100" s="31"/>
      <c r="H100" s="664"/>
      <c r="I100" s="725"/>
      <c r="J100" s="725"/>
      <c r="K100" s="17"/>
      <c r="L100" s="17"/>
      <c r="M100" s="17"/>
      <c r="N100" s="17"/>
      <c r="O100" s="17"/>
      <c r="P100" s="17"/>
      <c r="Q100" s="17"/>
    </row>
    <row r="101" spans="2:17" ht="18" hidden="1">
      <c r="B101" s="511" t="s">
        <v>373</v>
      </c>
      <c r="C101" s="511"/>
      <c r="D101" s="31"/>
      <c r="E101" s="31"/>
      <c r="F101" s="31"/>
      <c r="G101" s="31"/>
      <c r="H101" s="664"/>
      <c r="I101" s="725"/>
      <c r="J101" s="725"/>
      <c r="K101" s="17"/>
      <c r="L101" s="17"/>
      <c r="M101" s="17"/>
      <c r="N101" s="17"/>
      <c r="O101" s="17"/>
      <c r="P101" s="17"/>
      <c r="Q101" s="17"/>
    </row>
    <row r="102" spans="2:17" ht="18.75">
      <c r="B102" s="511" t="s">
        <v>374</v>
      </c>
      <c r="C102" s="511"/>
      <c r="D102" s="31"/>
      <c r="E102" s="31"/>
      <c r="F102" s="31"/>
      <c r="G102" s="31"/>
      <c r="H102" s="664">
        <v>29857.68</v>
      </c>
      <c r="I102" s="725"/>
      <c r="J102" s="725">
        <v>15033.2</v>
      </c>
      <c r="K102" s="17">
        <v>1367.33</v>
      </c>
      <c r="L102" s="17">
        <v>5756.79</v>
      </c>
      <c r="M102" s="17">
        <v>3200</v>
      </c>
      <c r="N102" s="17"/>
      <c r="O102" s="17"/>
      <c r="P102" s="17"/>
      <c r="Q102" s="17"/>
    </row>
    <row r="103" spans="2:17" ht="18.75">
      <c r="B103" s="511" t="s">
        <v>510</v>
      </c>
      <c r="C103" s="511"/>
      <c r="D103" s="31"/>
      <c r="E103" s="31"/>
      <c r="F103" s="31"/>
      <c r="G103" s="31"/>
      <c r="H103" s="664">
        <v>208348.26</v>
      </c>
      <c r="I103" s="725"/>
      <c r="J103" s="725">
        <v>40073.97</v>
      </c>
      <c r="K103" s="17">
        <v>55766.8</v>
      </c>
      <c r="L103" s="17">
        <v>52700.03</v>
      </c>
      <c r="M103" s="17">
        <v>116300.8</v>
      </c>
      <c r="N103" s="17">
        <v>150728.48</v>
      </c>
      <c r="O103" s="17">
        <v>243410</v>
      </c>
      <c r="P103" s="17">
        <v>99160.43</v>
      </c>
      <c r="Q103" s="17">
        <v>134117.15</v>
      </c>
    </row>
    <row r="104" spans="2:17" ht="18.75">
      <c r="B104" s="511" t="s">
        <v>375</v>
      </c>
      <c r="C104" s="511"/>
      <c r="D104" s="31"/>
      <c r="E104" s="31"/>
      <c r="F104" s="31"/>
      <c r="G104" s="31"/>
      <c r="H104" s="664"/>
      <c r="I104" s="725"/>
      <c r="J104" s="725">
        <v>300</v>
      </c>
      <c r="K104" s="17"/>
      <c r="L104" s="17"/>
      <c r="M104" s="17"/>
      <c r="N104" s="17"/>
      <c r="O104" s="17"/>
      <c r="P104" s="17"/>
      <c r="Q104" s="17"/>
    </row>
    <row r="105" spans="2:48" ht="18.75">
      <c r="B105" s="511" t="s">
        <v>376</v>
      </c>
      <c r="C105" s="511"/>
      <c r="D105" s="31"/>
      <c r="E105" s="31"/>
      <c r="F105" s="31"/>
      <c r="G105" s="31"/>
      <c r="H105" s="664">
        <v>68484.79</v>
      </c>
      <c r="I105" s="725"/>
      <c r="J105" s="725">
        <v>84077.49</v>
      </c>
      <c r="K105" s="17">
        <v>270353.72</v>
      </c>
      <c r="L105" s="17">
        <v>302294.11</v>
      </c>
      <c r="M105" s="17">
        <v>131608.13</v>
      </c>
      <c r="N105" s="17">
        <v>108421.18</v>
      </c>
      <c r="O105" s="17">
        <v>259193.01</v>
      </c>
      <c r="P105" s="17">
        <v>295738.26</v>
      </c>
      <c r="Q105" s="17">
        <v>75589.82</v>
      </c>
      <c r="AV105" s="169" t="s">
        <v>1228</v>
      </c>
    </row>
    <row r="106" spans="2:48" ht="18.75">
      <c r="B106" s="511" t="s">
        <v>377</v>
      </c>
      <c r="C106" s="511"/>
      <c r="D106" s="31"/>
      <c r="E106" s="31"/>
      <c r="F106" s="31"/>
      <c r="G106" s="31"/>
      <c r="H106" s="664">
        <f>7421785.35+167370</f>
        <v>7589155.35</v>
      </c>
      <c r="I106" s="725"/>
      <c r="J106" s="725">
        <v>5162503.22</v>
      </c>
      <c r="K106" s="17">
        <v>5386034.29</v>
      </c>
      <c r="L106" s="17">
        <v>4125422.82</v>
      </c>
      <c r="M106" s="17">
        <v>5911625.53</v>
      </c>
      <c r="N106" s="17">
        <v>5982448.89</v>
      </c>
      <c r="O106" s="17">
        <v>5456034.19</v>
      </c>
      <c r="P106" s="17">
        <v>4553977.94</v>
      </c>
      <c r="Q106" s="17">
        <v>6006213.08</v>
      </c>
      <c r="AP106" s="169">
        <v>6621334.25</v>
      </c>
      <c r="AU106" s="506">
        <f>+H106-AP106</f>
        <v>967821.0999999996</v>
      </c>
      <c r="AV106" s="169" t="s">
        <v>1229</v>
      </c>
    </row>
    <row r="107" spans="2:17" ht="18" hidden="1">
      <c r="B107" s="511" t="s">
        <v>378</v>
      </c>
      <c r="C107" s="511"/>
      <c r="D107" s="31"/>
      <c r="E107" s="31"/>
      <c r="F107" s="31"/>
      <c r="G107" s="31"/>
      <c r="H107" s="664"/>
      <c r="I107" s="725"/>
      <c r="J107" s="725"/>
      <c r="K107" s="17"/>
      <c r="L107" s="17"/>
      <c r="M107" s="17"/>
      <c r="N107" s="17"/>
      <c r="O107" s="17"/>
      <c r="P107" s="17"/>
      <c r="Q107" s="17"/>
    </row>
    <row r="108" spans="2:48" ht="18.75">
      <c r="B108" s="511" t="s">
        <v>379</v>
      </c>
      <c r="C108" s="511"/>
      <c r="D108" s="31"/>
      <c r="E108" s="31"/>
      <c r="F108" s="31"/>
      <c r="G108" s="31"/>
      <c r="H108" s="664">
        <f>50+7106.46</f>
        <v>7156.46</v>
      </c>
      <c r="I108" s="725"/>
      <c r="J108" s="725">
        <v>5920.5</v>
      </c>
      <c r="K108" s="17">
        <v>3045</v>
      </c>
      <c r="L108" s="17">
        <v>37395.6</v>
      </c>
      <c r="M108" s="17">
        <v>6215.7</v>
      </c>
      <c r="N108" s="17">
        <v>3621.16</v>
      </c>
      <c r="O108" s="17">
        <v>6608.85</v>
      </c>
      <c r="P108" s="17">
        <v>7032.48</v>
      </c>
      <c r="Q108" s="17">
        <v>5007.56</v>
      </c>
      <c r="AV108" s="169" t="s">
        <v>1230</v>
      </c>
    </row>
    <row r="109" spans="2:17" ht="18.75">
      <c r="B109" s="511" t="s">
        <v>380</v>
      </c>
      <c r="C109" s="511"/>
      <c r="D109" s="31"/>
      <c r="E109" s="31"/>
      <c r="F109" s="31"/>
      <c r="G109" s="31"/>
      <c r="H109" s="664">
        <v>26230.52</v>
      </c>
      <c r="I109" s="725"/>
      <c r="J109" s="725">
        <v>12511</v>
      </c>
      <c r="K109" s="17">
        <v>5506.26</v>
      </c>
      <c r="L109" s="17">
        <v>8306</v>
      </c>
      <c r="M109" s="17">
        <v>9552</v>
      </c>
      <c r="N109" s="17">
        <v>17000</v>
      </c>
      <c r="O109" s="17">
        <v>18963.91</v>
      </c>
      <c r="P109" s="17"/>
      <c r="Q109" s="17">
        <v>24634.94</v>
      </c>
    </row>
    <row r="110" spans="2:17" ht="18.75">
      <c r="B110" s="511" t="s">
        <v>381</v>
      </c>
      <c r="C110" s="511"/>
      <c r="D110" s="31"/>
      <c r="E110" s="31"/>
      <c r="F110" s="31"/>
      <c r="G110" s="31"/>
      <c r="H110" s="664">
        <v>311926.92</v>
      </c>
      <c r="I110" s="725"/>
      <c r="J110" s="725">
        <v>196659.27</v>
      </c>
      <c r="K110" s="17">
        <v>156006.28</v>
      </c>
      <c r="L110" s="17">
        <v>107171</v>
      </c>
      <c r="M110" s="17">
        <v>181279.3</v>
      </c>
      <c r="N110" s="17">
        <v>140412.7</v>
      </c>
      <c r="O110" s="17">
        <v>109066.22</v>
      </c>
      <c r="P110" s="17">
        <v>123740.3</v>
      </c>
      <c r="Q110" s="17">
        <v>204104.09</v>
      </c>
    </row>
    <row r="111" spans="2:42" ht="16.5" customHeight="1">
      <c r="B111" s="511" t="s">
        <v>511</v>
      </c>
      <c r="C111" s="511"/>
      <c r="D111" s="31"/>
      <c r="E111" s="31"/>
      <c r="F111" s="31"/>
      <c r="G111" s="31"/>
      <c r="H111" s="664">
        <v>726541.57</v>
      </c>
      <c r="I111" s="725"/>
      <c r="J111" s="725">
        <v>862932.98</v>
      </c>
      <c r="K111" s="17">
        <v>455712.32</v>
      </c>
      <c r="L111" s="17">
        <v>538127.05</v>
      </c>
      <c r="M111" s="17">
        <v>454833.81</v>
      </c>
      <c r="N111" s="17">
        <v>480986.55</v>
      </c>
      <c r="O111" s="17">
        <v>319169.55</v>
      </c>
      <c r="P111" s="17">
        <v>466741.6</v>
      </c>
      <c r="Q111" s="17">
        <v>576967.08</v>
      </c>
      <c r="AP111" s="506">
        <f>H111+H102+H103</f>
        <v>964747.51</v>
      </c>
    </row>
    <row r="112" spans="2:17" ht="18" hidden="1">
      <c r="B112" s="511" t="s">
        <v>382</v>
      </c>
      <c r="C112" s="511"/>
      <c r="D112" s="31"/>
      <c r="E112" s="31"/>
      <c r="F112" s="31"/>
      <c r="G112" s="31"/>
      <c r="H112" s="664"/>
      <c r="I112" s="725"/>
      <c r="J112" s="725"/>
      <c r="K112" s="17"/>
      <c r="L112" s="17"/>
      <c r="M112" s="17"/>
      <c r="N112" s="17"/>
      <c r="O112" s="17"/>
      <c r="P112" s="17"/>
      <c r="Q112" s="17"/>
    </row>
    <row r="113" spans="2:17" ht="18.75">
      <c r="B113" s="511" t="s">
        <v>383</v>
      </c>
      <c r="C113" s="511"/>
      <c r="D113" s="31"/>
      <c r="E113" s="31"/>
      <c r="F113" s="31"/>
      <c r="G113" s="31"/>
      <c r="H113" s="664"/>
      <c r="I113" s="725"/>
      <c r="J113" s="725">
        <v>117590.34</v>
      </c>
      <c r="K113" s="17">
        <v>1931</v>
      </c>
      <c r="L113" s="17">
        <v>8107.01</v>
      </c>
      <c r="M113" s="17">
        <v>189</v>
      </c>
      <c r="N113" s="17">
        <v>8833</v>
      </c>
      <c r="O113" s="17"/>
      <c r="P113" s="17"/>
      <c r="Q113" s="17"/>
    </row>
    <row r="114" spans="2:121" s="455" customFormat="1" ht="18.75">
      <c r="B114" s="511" t="s">
        <v>942</v>
      </c>
      <c r="C114" s="511"/>
      <c r="D114" s="31"/>
      <c r="E114" s="31"/>
      <c r="F114" s="31"/>
      <c r="G114" s="31"/>
      <c r="H114" s="664">
        <v>319</v>
      </c>
      <c r="I114" s="725"/>
      <c r="J114" s="725"/>
      <c r="K114" s="457"/>
      <c r="L114" s="457"/>
      <c r="M114" s="457"/>
      <c r="N114" s="457"/>
      <c r="O114" s="457"/>
      <c r="P114" s="457"/>
      <c r="Q114" s="457"/>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456"/>
      <c r="AX114" s="456"/>
      <c r="AY114" s="456"/>
      <c r="AZ114" s="456"/>
      <c r="BA114" s="456"/>
      <c r="CV114" s="456"/>
      <c r="CW114" s="456"/>
      <c r="CX114" s="456"/>
      <c r="CY114" s="456"/>
      <c r="CZ114" s="456"/>
      <c r="DA114" s="456"/>
      <c r="DB114" s="456"/>
      <c r="DC114" s="456"/>
      <c r="DD114" s="456"/>
      <c r="DE114" s="456"/>
      <c r="DF114" s="456"/>
      <c r="DG114" s="456"/>
      <c r="DH114" s="456"/>
      <c r="DI114" s="456"/>
      <c r="DJ114" s="456"/>
      <c r="DK114" s="456"/>
      <c r="DL114" s="456"/>
      <c r="DM114" s="456"/>
      <c r="DN114" s="456"/>
      <c r="DO114" s="456"/>
      <c r="DP114" s="456"/>
      <c r="DQ114" s="456"/>
    </row>
    <row r="115" spans="2:42" ht="18.75">
      <c r="B115" s="511" t="s">
        <v>384</v>
      </c>
      <c r="C115" s="511"/>
      <c r="D115" s="31"/>
      <c r="E115" s="31"/>
      <c r="F115" s="31"/>
      <c r="G115" s="31"/>
      <c r="H115" s="664">
        <v>48527.46</v>
      </c>
      <c r="I115" s="725"/>
      <c r="J115" s="725">
        <v>60308.28</v>
      </c>
      <c r="K115" s="17">
        <v>6215</v>
      </c>
      <c r="L115" s="17">
        <v>3489</v>
      </c>
      <c r="M115" s="17">
        <v>7373.65</v>
      </c>
      <c r="N115" s="17">
        <v>14573</v>
      </c>
      <c r="O115" s="17">
        <v>715.05</v>
      </c>
      <c r="P115" s="17">
        <v>8100.8</v>
      </c>
      <c r="Q115" s="17">
        <v>58756.74</v>
      </c>
      <c r="AP115" s="506">
        <f>H115+H116+H117+H118</f>
        <v>73759.35</v>
      </c>
    </row>
    <row r="116" spans="2:17" ht="18.75">
      <c r="B116" s="511" t="s">
        <v>385</v>
      </c>
      <c r="C116" s="511"/>
      <c r="D116" s="31"/>
      <c r="E116" s="31"/>
      <c r="F116" s="31"/>
      <c r="G116" s="31"/>
      <c r="H116" s="664">
        <v>16015.33</v>
      </c>
      <c r="I116" s="725"/>
      <c r="J116" s="725">
        <v>29105.6</v>
      </c>
      <c r="K116" s="17">
        <v>6723</v>
      </c>
      <c r="L116" s="17">
        <v>8078.01</v>
      </c>
      <c r="M116" s="17">
        <v>4710</v>
      </c>
      <c r="N116" s="17">
        <v>930.14</v>
      </c>
      <c r="O116" s="17"/>
      <c r="P116" s="17">
        <v>12122.99</v>
      </c>
      <c r="Q116" s="17">
        <v>2009.5</v>
      </c>
    </row>
    <row r="117" spans="2:17" ht="18.75">
      <c r="B117" s="511" t="s">
        <v>512</v>
      </c>
      <c r="C117" s="511"/>
      <c r="D117" s="31"/>
      <c r="E117" s="31"/>
      <c r="F117" s="31"/>
      <c r="G117" s="31"/>
      <c r="H117" s="664">
        <v>3298.92</v>
      </c>
      <c r="I117" s="725"/>
      <c r="J117" s="725">
        <v>27331.77</v>
      </c>
      <c r="K117" s="17">
        <v>6830.75</v>
      </c>
      <c r="L117" s="17">
        <v>7852</v>
      </c>
      <c r="M117" s="17">
        <v>3197.85</v>
      </c>
      <c r="N117" s="17">
        <v>12390</v>
      </c>
      <c r="O117" s="17">
        <v>669.97</v>
      </c>
      <c r="P117" s="17">
        <v>595</v>
      </c>
      <c r="Q117" s="17">
        <v>2330.23</v>
      </c>
    </row>
    <row r="118" spans="2:17" ht="18.75">
      <c r="B118" s="511" t="s">
        <v>386</v>
      </c>
      <c r="C118" s="511"/>
      <c r="D118" s="31"/>
      <c r="E118" s="31"/>
      <c r="F118" s="31"/>
      <c r="G118" s="31"/>
      <c r="H118" s="664">
        <v>5917.64</v>
      </c>
      <c r="I118" s="725"/>
      <c r="J118" s="725">
        <v>2317.78</v>
      </c>
      <c r="K118" s="17">
        <v>55028</v>
      </c>
      <c r="L118" s="17">
        <v>675</v>
      </c>
      <c r="M118" s="17">
        <v>984</v>
      </c>
      <c r="N118" s="17">
        <v>1208</v>
      </c>
      <c r="O118" s="17">
        <v>310</v>
      </c>
      <c r="P118" s="17">
        <v>4155</v>
      </c>
      <c r="Q118" s="17">
        <v>220</v>
      </c>
    </row>
    <row r="119" spans="2:17" ht="25.5" customHeight="1" hidden="1">
      <c r="B119" s="511" t="s">
        <v>387</v>
      </c>
      <c r="C119" s="511"/>
      <c r="D119" s="31"/>
      <c r="E119" s="31"/>
      <c r="F119" s="31"/>
      <c r="G119" s="31"/>
      <c r="H119" s="664"/>
      <c r="I119" s="725"/>
      <c r="J119" s="725"/>
      <c r="K119" s="17"/>
      <c r="L119" s="17"/>
      <c r="M119" s="17"/>
      <c r="N119" s="17"/>
      <c r="O119" s="17">
        <v>1179</v>
      </c>
      <c r="P119" s="17"/>
      <c r="Q119" s="17"/>
    </row>
    <row r="120" spans="2:17" ht="24.75" customHeight="1">
      <c r="B120" s="511" t="s">
        <v>513</v>
      </c>
      <c r="C120" s="511"/>
      <c r="D120" s="31"/>
      <c r="E120" s="31"/>
      <c r="F120" s="31"/>
      <c r="G120" s="31"/>
      <c r="H120" s="664">
        <v>40605.41</v>
      </c>
      <c r="I120" s="725"/>
      <c r="J120" s="725">
        <v>2329.61</v>
      </c>
      <c r="K120" s="17">
        <v>190047.03</v>
      </c>
      <c r="L120" s="17">
        <v>21499.56</v>
      </c>
      <c r="M120" s="17">
        <v>16126.59</v>
      </c>
      <c r="N120" s="17">
        <v>87467.93</v>
      </c>
      <c r="O120" s="17">
        <v>60451.88</v>
      </c>
      <c r="P120" s="17">
        <v>36441.61</v>
      </c>
      <c r="Q120" s="17">
        <v>202971.08</v>
      </c>
    </row>
    <row r="121" spans="2:17" ht="22.5" customHeight="1" hidden="1">
      <c r="B121" s="511" t="s">
        <v>514</v>
      </c>
      <c r="C121" s="511"/>
      <c r="D121" s="31"/>
      <c r="E121" s="31"/>
      <c r="F121" s="31"/>
      <c r="G121" s="31"/>
      <c r="H121" s="664"/>
      <c r="I121" s="725"/>
      <c r="J121" s="725"/>
      <c r="K121" s="17"/>
      <c r="L121" s="17"/>
      <c r="M121" s="17"/>
      <c r="N121" s="17">
        <v>63134.15</v>
      </c>
      <c r="O121" s="17"/>
      <c r="P121" s="17">
        <v>66501.57</v>
      </c>
      <c r="Q121" s="17">
        <v>33373.88</v>
      </c>
    </row>
    <row r="122" spans="2:17" ht="21.75" customHeight="1">
      <c r="B122" s="511" t="s">
        <v>388</v>
      </c>
      <c r="C122" s="511"/>
      <c r="D122" s="31"/>
      <c r="E122" s="31"/>
      <c r="F122" s="31"/>
      <c r="G122" s="31"/>
      <c r="H122" s="664">
        <v>88.5</v>
      </c>
      <c r="I122" s="725"/>
      <c r="J122" s="725">
        <v>35258.42</v>
      </c>
      <c r="K122" s="17"/>
      <c r="L122" s="17"/>
      <c r="M122" s="17"/>
      <c r="N122" s="17"/>
      <c r="O122" s="17">
        <v>738.05</v>
      </c>
      <c r="P122" s="17"/>
      <c r="Q122" s="17"/>
    </row>
    <row r="123" spans="2:17" ht="20.25" customHeight="1">
      <c r="B123" s="511" t="s">
        <v>389</v>
      </c>
      <c r="C123" s="511"/>
      <c r="D123" s="31"/>
      <c r="E123" s="31"/>
      <c r="F123" s="31"/>
      <c r="G123" s="31"/>
      <c r="H123" s="664"/>
      <c r="I123" s="725"/>
      <c r="J123" s="725">
        <v>315750.9</v>
      </c>
      <c r="K123" s="17">
        <v>52510</v>
      </c>
      <c r="L123" s="17"/>
      <c r="M123" s="17"/>
      <c r="N123" s="17"/>
      <c r="O123" s="17"/>
      <c r="P123" s="17"/>
      <c r="Q123" s="17"/>
    </row>
    <row r="124" spans="2:17" ht="18.75">
      <c r="B124" s="511" t="s">
        <v>390</v>
      </c>
      <c r="C124" s="511"/>
      <c r="D124" s="31"/>
      <c r="E124" s="31"/>
      <c r="F124" s="31"/>
      <c r="G124" s="31"/>
      <c r="H124" s="664">
        <v>265803.17</v>
      </c>
      <c r="I124" s="725"/>
      <c r="J124" s="725">
        <v>236904.76</v>
      </c>
      <c r="K124" s="17">
        <v>274798.05</v>
      </c>
      <c r="L124" s="17">
        <v>248426.81</v>
      </c>
      <c r="M124" s="17">
        <v>198842.98</v>
      </c>
      <c r="N124" s="17">
        <v>203351.32</v>
      </c>
      <c r="O124" s="17">
        <v>250366.42</v>
      </c>
      <c r="P124" s="17">
        <v>243342.8</v>
      </c>
      <c r="Q124" s="17">
        <v>180818.48</v>
      </c>
    </row>
    <row r="125" spans="2:17" ht="18.75">
      <c r="B125" s="511" t="s">
        <v>391</v>
      </c>
      <c r="C125" s="511"/>
      <c r="D125" s="31"/>
      <c r="E125" s="31"/>
      <c r="F125" s="31"/>
      <c r="G125" s="31"/>
      <c r="H125" s="664">
        <v>1298024.69</v>
      </c>
      <c r="I125" s="725"/>
      <c r="J125" s="725">
        <f>502661.83-8000</f>
        <v>494661.83</v>
      </c>
      <c r="K125" s="17">
        <v>480006.58</v>
      </c>
      <c r="L125" s="17">
        <v>312561.54</v>
      </c>
      <c r="M125" s="17">
        <v>501129.11</v>
      </c>
      <c r="N125" s="17">
        <v>388853.26</v>
      </c>
      <c r="O125" s="17">
        <v>1418170.83</v>
      </c>
      <c r="P125" s="17">
        <v>448986.18</v>
      </c>
      <c r="Q125" s="17">
        <v>427974.82</v>
      </c>
    </row>
    <row r="126" spans="2:17" ht="18.75">
      <c r="B126" s="511" t="s">
        <v>392</v>
      </c>
      <c r="C126" s="511"/>
      <c r="D126" s="31"/>
      <c r="E126" s="31"/>
      <c r="F126" s="31"/>
      <c r="G126" s="31"/>
      <c r="H126" s="664">
        <v>238593.64</v>
      </c>
      <c r="I126" s="725"/>
      <c r="J126" s="725"/>
      <c r="K126" s="17">
        <v>172984.54</v>
      </c>
      <c r="L126" s="17">
        <v>50211.45</v>
      </c>
      <c r="M126" s="17">
        <v>82831.22</v>
      </c>
      <c r="N126" s="17">
        <v>10089.75</v>
      </c>
      <c r="O126" s="17"/>
      <c r="P126" s="17"/>
      <c r="Q126" s="17"/>
    </row>
    <row r="127" spans="2:17" ht="18" hidden="1">
      <c r="B127" s="511" t="s">
        <v>393</v>
      </c>
      <c r="C127" s="511"/>
      <c r="D127" s="31"/>
      <c r="E127" s="31"/>
      <c r="F127" s="31"/>
      <c r="G127" s="31"/>
      <c r="H127" s="664"/>
      <c r="I127" s="725"/>
      <c r="J127" s="725"/>
      <c r="K127" s="17"/>
      <c r="L127" s="17"/>
      <c r="M127" s="17"/>
      <c r="N127" s="17"/>
      <c r="O127" s="17"/>
      <c r="P127" s="17"/>
      <c r="Q127" s="17"/>
    </row>
    <row r="128" spans="2:17" ht="18.75">
      <c r="B128" s="511" t="s">
        <v>394</v>
      </c>
      <c r="C128" s="511"/>
      <c r="D128" s="31"/>
      <c r="E128" s="31"/>
      <c r="F128" s="31"/>
      <c r="G128" s="31"/>
      <c r="H128" s="664">
        <v>8076.56</v>
      </c>
      <c r="I128" s="725"/>
      <c r="J128" s="725">
        <v>15103.84</v>
      </c>
      <c r="K128" s="17">
        <v>6008.27</v>
      </c>
      <c r="L128" s="17">
        <v>15723.13</v>
      </c>
      <c r="M128" s="17">
        <v>44460.83</v>
      </c>
      <c r="N128" s="17">
        <v>9793.8</v>
      </c>
      <c r="O128" s="17">
        <v>66845.29</v>
      </c>
      <c r="P128" s="17">
        <v>90106.2</v>
      </c>
      <c r="Q128" s="17">
        <v>73065.4</v>
      </c>
    </row>
    <row r="129" spans="2:17" ht="18.75">
      <c r="B129" s="511" t="s">
        <v>515</v>
      </c>
      <c r="C129" s="511"/>
      <c r="D129" s="31"/>
      <c r="E129" s="31"/>
      <c r="F129" s="31"/>
      <c r="G129" s="31"/>
      <c r="H129" s="664">
        <v>440709.07</v>
      </c>
      <c r="I129" s="725"/>
      <c r="J129" s="725">
        <v>448195.75</v>
      </c>
      <c r="K129" s="17">
        <v>203193.29</v>
      </c>
      <c r="L129" s="17">
        <v>292895.77</v>
      </c>
      <c r="M129" s="17">
        <v>571580.44</v>
      </c>
      <c r="N129" s="17">
        <v>686387.84</v>
      </c>
      <c r="O129" s="17">
        <v>289865.14</v>
      </c>
      <c r="P129" s="17">
        <v>288713.5</v>
      </c>
      <c r="Q129" s="17">
        <v>308438.47</v>
      </c>
    </row>
    <row r="130" spans="2:17" ht="18.75">
      <c r="B130" s="511" t="s">
        <v>570</v>
      </c>
      <c r="C130" s="511"/>
      <c r="D130" s="31"/>
      <c r="E130" s="31"/>
      <c r="F130" s="31"/>
      <c r="G130" s="31"/>
      <c r="H130" s="664">
        <v>3366533.57</v>
      </c>
      <c r="I130" s="725"/>
      <c r="J130" s="725">
        <v>2640815.61</v>
      </c>
      <c r="K130" s="17">
        <v>3102652.04</v>
      </c>
      <c r="L130" s="17">
        <v>2168710.74</v>
      </c>
      <c r="M130" s="17">
        <v>3159275.9</v>
      </c>
      <c r="N130" s="17">
        <v>3651882.03</v>
      </c>
      <c r="O130" s="17">
        <v>1430721.86</v>
      </c>
      <c r="P130" s="17">
        <v>2626648.48</v>
      </c>
      <c r="Q130" s="17">
        <v>2031745.4</v>
      </c>
    </row>
    <row r="131" spans="2:17" ht="18" hidden="1">
      <c r="B131" s="511" t="s">
        <v>395</v>
      </c>
      <c r="C131" s="511"/>
      <c r="D131" s="31"/>
      <c r="E131" s="31"/>
      <c r="F131" s="31"/>
      <c r="G131" s="31"/>
      <c r="H131" s="664"/>
      <c r="I131" s="725"/>
      <c r="J131" s="725"/>
      <c r="K131" s="17"/>
      <c r="L131" s="17"/>
      <c r="M131" s="17">
        <v>3199.08</v>
      </c>
      <c r="N131" s="17"/>
      <c r="O131" s="17"/>
      <c r="P131" s="17"/>
      <c r="Q131" s="17">
        <v>248885.46</v>
      </c>
    </row>
    <row r="132" spans="2:42" ht="18.75">
      <c r="B132" s="511" t="s">
        <v>396</v>
      </c>
      <c r="C132" s="511"/>
      <c r="D132" s="31"/>
      <c r="E132" s="31"/>
      <c r="F132" s="31"/>
      <c r="G132" s="31"/>
      <c r="H132" s="664">
        <v>11891</v>
      </c>
      <c r="I132" s="725"/>
      <c r="J132" s="725">
        <v>25000</v>
      </c>
      <c r="K132" s="17">
        <v>10620</v>
      </c>
      <c r="L132" s="17">
        <v>289165.59</v>
      </c>
      <c r="M132" s="17">
        <v>3015.9</v>
      </c>
      <c r="N132" s="17"/>
      <c r="O132" s="17"/>
      <c r="P132" s="17"/>
      <c r="Q132" s="17"/>
      <c r="AP132" s="506">
        <f>H120+H124+H125+H126+H128+H129+H130+H132+H122</f>
        <v>5670325.609999999</v>
      </c>
    </row>
    <row r="133" spans="2:18" ht="18" hidden="1">
      <c r="B133" s="823" t="s">
        <v>516</v>
      </c>
      <c r="C133" s="823"/>
      <c r="D133" s="31"/>
      <c r="E133" s="31"/>
      <c r="F133" s="31"/>
      <c r="G133" s="31"/>
      <c r="H133" s="664"/>
      <c r="I133" s="725"/>
      <c r="J133" s="725"/>
      <c r="K133" s="17"/>
      <c r="L133" s="17">
        <v>294000</v>
      </c>
      <c r="M133" s="17">
        <v>3016000</v>
      </c>
      <c r="N133" s="17">
        <v>2023000</v>
      </c>
      <c r="O133" s="17"/>
      <c r="P133" s="17">
        <v>1679000</v>
      </c>
      <c r="Q133" s="17">
        <v>1286000</v>
      </c>
      <c r="R133" s="17">
        <f>+M133-N133</f>
        <v>993000</v>
      </c>
    </row>
    <row r="134" spans="2:17" ht="18.75">
      <c r="B134" s="511" t="s">
        <v>668</v>
      </c>
      <c r="C134" s="511"/>
      <c r="D134" s="31"/>
      <c r="E134" s="31"/>
      <c r="F134" s="31"/>
      <c r="G134" s="31"/>
      <c r="H134" s="664"/>
      <c r="I134" s="725"/>
      <c r="J134" s="725">
        <v>250000</v>
      </c>
      <c r="K134" s="17">
        <v>150000</v>
      </c>
      <c r="L134" s="17">
        <v>150000</v>
      </c>
      <c r="M134" s="17">
        <v>150000</v>
      </c>
      <c r="N134" s="17">
        <v>150000</v>
      </c>
      <c r="O134" s="17"/>
      <c r="P134" s="17">
        <v>150000</v>
      </c>
      <c r="Q134" s="17"/>
    </row>
    <row r="135" spans="2:17" ht="14.25" hidden="1">
      <c r="B135" s="31"/>
      <c r="C135" s="31"/>
      <c r="D135" s="31"/>
      <c r="E135" s="31"/>
      <c r="F135" s="31"/>
      <c r="G135" s="31"/>
      <c r="H135" s="725"/>
      <c r="I135" s="725"/>
      <c r="J135" s="725"/>
      <c r="K135" s="17"/>
      <c r="L135" s="17"/>
      <c r="M135" s="31"/>
      <c r="N135" s="17"/>
      <c r="O135" s="17"/>
      <c r="P135" s="17"/>
      <c r="Q135" s="17"/>
    </row>
    <row r="136" spans="2:17" ht="14.25" hidden="1">
      <c r="B136" s="31"/>
      <c r="C136" s="31"/>
      <c r="D136" s="31"/>
      <c r="E136" s="31"/>
      <c r="F136" s="31"/>
      <c r="G136" s="31"/>
      <c r="H136" s="725"/>
      <c r="I136" s="725"/>
      <c r="J136" s="725"/>
      <c r="K136" s="17"/>
      <c r="L136" s="17"/>
      <c r="M136" s="31"/>
      <c r="N136" s="17"/>
      <c r="O136" s="17"/>
      <c r="P136" s="17"/>
      <c r="Q136" s="17"/>
    </row>
    <row r="137" spans="2:17" ht="14.25" hidden="1">
      <c r="B137" s="31" t="s">
        <v>396</v>
      </c>
      <c r="C137" s="31"/>
      <c r="D137" s="31"/>
      <c r="E137" s="31"/>
      <c r="F137" s="31"/>
      <c r="G137" s="31"/>
      <c r="H137" s="725"/>
      <c r="I137" s="725"/>
      <c r="J137" s="725"/>
      <c r="K137" s="17"/>
      <c r="L137" s="17"/>
      <c r="M137" s="31"/>
      <c r="N137" s="17"/>
      <c r="O137" s="17">
        <v>5100</v>
      </c>
      <c r="P137" s="17"/>
      <c r="Q137" s="35">
        <v>5438.97</v>
      </c>
    </row>
    <row r="138" spans="2:17" ht="14.25" hidden="1">
      <c r="B138" s="31"/>
      <c r="C138" s="31"/>
      <c r="D138" s="31"/>
      <c r="E138" s="31"/>
      <c r="F138" s="31"/>
      <c r="G138" s="31"/>
      <c r="H138" s="725"/>
      <c r="I138" s="725"/>
      <c r="J138" s="725"/>
      <c r="K138" s="17"/>
      <c r="L138" s="17"/>
      <c r="M138" s="31"/>
      <c r="N138" s="17"/>
      <c r="O138" s="17"/>
      <c r="P138" s="17"/>
      <c r="Q138" s="17"/>
    </row>
    <row r="139" spans="2:17" ht="14.25" hidden="1">
      <c r="B139" s="31" t="s">
        <v>598</v>
      </c>
      <c r="C139" s="31"/>
      <c r="D139" s="31"/>
      <c r="E139" s="31"/>
      <c r="F139" s="31"/>
      <c r="G139" s="31"/>
      <c r="H139" s="725"/>
      <c r="I139" s="725"/>
      <c r="J139" s="725"/>
      <c r="K139" s="17"/>
      <c r="L139" s="17">
        <v>2700</v>
      </c>
      <c r="M139" s="17">
        <v>6000</v>
      </c>
      <c r="N139" s="17"/>
      <c r="O139" s="17"/>
      <c r="P139" s="17"/>
      <c r="Q139" s="17"/>
    </row>
    <row r="140" spans="2:47" ht="15.75" thickBot="1">
      <c r="B140" s="386" t="s">
        <v>300</v>
      </c>
      <c r="C140" s="387"/>
      <c r="D140" s="387"/>
      <c r="E140" s="387"/>
      <c r="F140" s="387"/>
      <c r="G140" s="387"/>
      <c r="H140" s="738">
        <f>SUM(H84:H134)</f>
        <v>18541835.460000005</v>
      </c>
      <c r="I140" s="738"/>
      <c r="J140" s="738">
        <f>SUM(J84:J139)</f>
        <v>29367212.619999994</v>
      </c>
      <c r="K140" s="80">
        <f>SUM(K84:K139)</f>
        <v>27236509.940000005</v>
      </c>
      <c r="L140" s="80">
        <f>SUM(L84:L139)</f>
        <v>22049692.330000002</v>
      </c>
      <c r="M140" s="80">
        <f>SUM(M84:M139)</f>
        <v>32420664.50999999</v>
      </c>
      <c r="N140" s="80">
        <f>SUM(N84:N134)</f>
        <v>29054319.070000004</v>
      </c>
      <c r="O140" s="38">
        <f>SUM(O84:O138)</f>
        <v>25434729.67</v>
      </c>
      <c r="P140" s="80">
        <f>SUM(P84:P137)</f>
        <v>28124847.32</v>
      </c>
      <c r="Q140" s="56">
        <f>SUM(Q84:Q137)</f>
        <v>26596069.56999999</v>
      </c>
      <c r="AP140" s="632">
        <v>18662249.920000006</v>
      </c>
      <c r="AU140" s="630">
        <f>AP140-H140</f>
        <v>120414.4600000009</v>
      </c>
    </row>
    <row r="141" spans="2:16" ht="15" hidden="1" thickTop="1">
      <c r="B141" s="31"/>
      <c r="C141" s="31"/>
      <c r="D141" s="31"/>
      <c r="E141" s="31"/>
      <c r="F141" s="31"/>
      <c r="G141" s="31"/>
      <c r="H141" s="725"/>
      <c r="I141" s="725"/>
      <c r="J141" s="720"/>
      <c r="K141" s="31"/>
      <c r="L141" s="31"/>
      <c r="M141" s="31"/>
      <c r="N141" s="31"/>
      <c r="O141" s="17"/>
      <c r="P141" s="17"/>
    </row>
    <row r="142" spans="2:16" ht="15" hidden="1" thickTop="1">
      <c r="B142" s="31"/>
      <c r="C142" s="31"/>
      <c r="D142" s="31"/>
      <c r="E142" s="31"/>
      <c r="F142" s="31"/>
      <c r="G142" s="31"/>
      <c r="H142" s="725"/>
      <c r="I142" s="725"/>
      <c r="J142" s="720"/>
      <c r="K142" s="31"/>
      <c r="L142" s="31"/>
      <c r="M142" s="31"/>
      <c r="N142" s="31"/>
      <c r="O142" s="17"/>
      <c r="P142" s="17"/>
    </row>
    <row r="143" spans="2:16" ht="15" hidden="1" thickTop="1">
      <c r="B143" s="31"/>
      <c r="C143" s="31"/>
      <c r="D143" s="31"/>
      <c r="E143" s="31"/>
      <c r="F143" s="31"/>
      <c r="G143" s="31"/>
      <c r="H143" s="725"/>
      <c r="I143" s="725"/>
      <c r="J143" s="720"/>
      <c r="K143" s="31"/>
      <c r="L143" s="31"/>
      <c r="M143" s="31"/>
      <c r="N143" s="31"/>
      <c r="O143" s="17"/>
      <c r="P143" s="17"/>
    </row>
    <row r="144" spans="2:16" ht="18" hidden="1" thickTop="1">
      <c r="B144" s="31"/>
      <c r="C144" s="31"/>
      <c r="D144" s="31"/>
      <c r="E144" s="31"/>
      <c r="F144" s="31"/>
      <c r="G144" s="31"/>
      <c r="H144" s="725"/>
      <c r="I144" s="725"/>
      <c r="J144" s="720"/>
      <c r="K144" s="31"/>
      <c r="L144" s="31"/>
      <c r="M144" s="31"/>
      <c r="N144" s="31"/>
      <c r="O144" s="32" t="s">
        <v>495</v>
      </c>
      <c r="P144" s="32"/>
    </row>
    <row r="145" spans="2:16" ht="18" hidden="1" thickTop="1">
      <c r="B145" s="34" t="s">
        <v>397</v>
      </c>
      <c r="C145" s="31"/>
      <c r="D145" s="31"/>
      <c r="E145" s="31"/>
      <c r="F145" s="31"/>
      <c r="G145" s="31"/>
      <c r="H145" s="725"/>
      <c r="I145" s="725"/>
      <c r="J145" s="720"/>
      <c r="K145" s="31"/>
      <c r="L145" s="31"/>
      <c r="M145" s="31"/>
      <c r="N145" s="31"/>
      <c r="O145" s="17"/>
      <c r="P145" s="17"/>
    </row>
    <row r="146" spans="2:16" ht="15" hidden="1" thickTop="1">
      <c r="B146" s="31" t="s">
        <v>398</v>
      </c>
      <c r="C146" s="31"/>
      <c r="D146" s="31"/>
      <c r="E146" s="31"/>
      <c r="F146" s="31"/>
      <c r="G146" s="31"/>
      <c r="H146" s="725"/>
      <c r="I146" s="725"/>
      <c r="J146" s="720"/>
      <c r="K146" s="31"/>
      <c r="L146" s="31"/>
      <c r="M146" s="31"/>
      <c r="N146" s="31"/>
      <c r="O146" s="17"/>
      <c r="P146" s="17"/>
    </row>
    <row r="147" spans="2:16" ht="15" hidden="1" thickTop="1">
      <c r="B147" s="31" t="s">
        <v>399</v>
      </c>
      <c r="C147" s="31"/>
      <c r="D147" s="31"/>
      <c r="E147" s="31"/>
      <c r="F147" s="31"/>
      <c r="G147" s="31"/>
      <c r="H147" s="725"/>
      <c r="I147" s="725"/>
      <c r="J147" s="720"/>
      <c r="K147" s="31"/>
      <c r="L147" s="31"/>
      <c r="M147" s="31"/>
      <c r="N147" s="31"/>
      <c r="O147" s="17"/>
      <c r="P147" s="17"/>
    </row>
    <row r="148" spans="2:16" ht="15" hidden="1" thickTop="1">
      <c r="B148" s="31" t="s">
        <v>400</v>
      </c>
      <c r="C148" s="31"/>
      <c r="D148" s="31"/>
      <c r="E148" s="31"/>
      <c r="F148" s="31"/>
      <c r="G148" s="31"/>
      <c r="H148" s="725"/>
      <c r="I148" s="725"/>
      <c r="J148" s="720"/>
      <c r="K148" s="31"/>
      <c r="L148" s="31"/>
      <c r="M148" s="31"/>
      <c r="N148" s="31"/>
      <c r="O148" s="17"/>
      <c r="P148" s="17"/>
    </row>
    <row r="149" spans="2:16" ht="15" hidden="1" thickTop="1">
      <c r="B149" s="31" t="s">
        <v>401</v>
      </c>
      <c r="C149" s="31"/>
      <c r="D149" s="31"/>
      <c r="E149" s="31"/>
      <c r="F149" s="31"/>
      <c r="G149" s="31"/>
      <c r="H149" s="725"/>
      <c r="I149" s="725"/>
      <c r="J149" s="720"/>
      <c r="K149" s="31"/>
      <c r="L149" s="31"/>
      <c r="M149" s="31"/>
      <c r="N149" s="31"/>
      <c r="O149" s="17"/>
      <c r="P149" s="17"/>
    </row>
    <row r="150" spans="2:16" ht="15" hidden="1" thickTop="1">
      <c r="B150" s="31" t="s">
        <v>402</v>
      </c>
      <c r="C150" s="31"/>
      <c r="D150" s="31"/>
      <c r="E150" s="31"/>
      <c r="F150" s="31"/>
      <c r="G150" s="31"/>
      <c r="H150" s="725"/>
      <c r="I150" s="725"/>
      <c r="J150" s="720"/>
      <c r="K150" s="31"/>
      <c r="L150" s="31"/>
      <c r="M150" s="31"/>
      <c r="N150" s="31"/>
      <c r="O150" s="17"/>
      <c r="P150" s="17"/>
    </row>
    <row r="151" spans="2:16" ht="15" hidden="1" thickTop="1">
      <c r="B151" s="31" t="s">
        <v>403</v>
      </c>
      <c r="C151" s="31"/>
      <c r="D151" s="31"/>
      <c r="E151" s="31"/>
      <c r="F151" s="31"/>
      <c r="G151" s="31"/>
      <c r="H151" s="725"/>
      <c r="I151" s="725"/>
      <c r="J151" s="720"/>
      <c r="K151" s="31"/>
      <c r="L151" s="31"/>
      <c r="M151" s="31"/>
      <c r="N151" s="31"/>
      <c r="O151" s="17"/>
      <c r="P151" s="17"/>
    </row>
    <row r="152" spans="2:16" ht="15" hidden="1" thickTop="1">
      <c r="B152" s="31" t="s">
        <v>404</v>
      </c>
      <c r="C152" s="31"/>
      <c r="D152" s="31"/>
      <c r="E152" s="31"/>
      <c r="F152" s="31"/>
      <c r="G152" s="31"/>
      <c r="H152" s="725"/>
      <c r="I152" s="725"/>
      <c r="J152" s="720"/>
      <c r="K152" s="31"/>
      <c r="L152" s="31"/>
      <c r="M152" s="31"/>
      <c r="N152" s="31"/>
      <c r="O152" s="17"/>
      <c r="P152" s="17"/>
    </row>
    <row r="153" spans="2:16" ht="15" hidden="1" thickTop="1">
      <c r="B153" s="31" t="s">
        <v>405</v>
      </c>
      <c r="C153" s="31"/>
      <c r="D153" s="31"/>
      <c r="E153" s="31"/>
      <c r="F153" s="31"/>
      <c r="G153" s="31"/>
      <c r="H153" s="725"/>
      <c r="I153" s="725"/>
      <c r="J153" s="720"/>
      <c r="K153" s="31"/>
      <c r="L153" s="31"/>
      <c r="M153" s="31"/>
      <c r="N153" s="31"/>
      <c r="O153" s="17"/>
      <c r="P153" s="17"/>
    </row>
    <row r="154" spans="2:16" ht="15" hidden="1" thickTop="1">
      <c r="B154" s="31" t="s">
        <v>406</v>
      </c>
      <c r="C154" s="31"/>
      <c r="D154" s="31"/>
      <c r="E154" s="31"/>
      <c r="F154" s="31"/>
      <c r="G154" s="31"/>
      <c r="H154" s="725"/>
      <c r="I154" s="725"/>
      <c r="J154" s="720"/>
      <c r="K154" s="31"/>
      <c r="L154" s="31"/>
      <c r="M154" s="31"/>
      <c r="N154" s="31"/>
      <c r="O154" s="17"/>
      <c r="P154" s="17"/>
    </row>
    <row r="155" spans="2:16" ht="15" hidden="1" thickTop="1">
      <c r="B155" s="31" t="s">
        <v>407</v>
      </c>
      <c r="C155" s="31"/>
      <c r="D155" s="31"/>
      <c r="E155" s="31"/>
      <c r="F155" s="31"/>
      <c r="G155" s="31"/>
      <c r="H155" s="725"/>
      <c r="I155" s="725"/>
      <c r="J155" s="720"/>
      <c r="K155" s="31"/>
      <c r="L155" s="31"/>
      <c r="M155" s="31"/>
      <c r="N155" s="31"/>
      <c r="O155" s="17"/>
      <c r="P155" s="17"/>
    </row>
    <row r="156" spans="2:16" ht="15" hidden="1" thickTop="1">
      <c r="B156" s="31" t="s">
        <v>408</v>
      </c>
      <c r="C156" s="31"/>
      <c r="D156" s="31"/>
      <c r="E156" s="31"/>
      <c r="F156" s="31"/>
      <c r="G156" s="31"/>
      <c r="H156" s="725"/>
      <c r="I156" s="725"/>
      <c r="J156" s="720"/>
      <c r="K156" s="31"/>
      <c r="L156" s="31"/>
      <c r="M156" s="31"/>
      <c r="N156" s="31"/>
      <c r="O156" s="17"/>
      <c r="P156" s="17"/>
    </row>
    <row r="157" spans="2:16" ht="15" hidden="1" thickTop="1">
      <c r="B157" s="31" t="s">
        <v>409</v>
      </c>
      <c r="C157" s="31"/>
      <c r="D157" s="31"/>
      <c r="E157" s="31"/>
      <c r="F157" s="31"/>
      <c r="G157" s="31"/>
      <c r="H157" s="725"/>
      <c r="I157" s="725"/>
      <c r="J157" s="720"/>
      <c r="K157" s="31"/>
      <c r="L157" s="31"/>
      <c r="M157" s="31"/>
      <c r="N157" s="31"/>
      <c r="O157" s="17"/>
      <c r="P157" s="17"/>
    </row>
    <row r="158" spans="2:16" ht="15" hidden="1" thickTop="1">
      <c r="B158" s="31"/>
      <c r="C158" s="31"/>
      <c r="D158" s="31"/>
      <c r="E158" s="31"/>
      <c r="F158" s="31"/>
      <c r="G158" s="31"/>
      <c r="H158" s="725"/>
      <c r="I158" s="725"/>
      <c r="J158" s="720"/>
      <c r="K158" s="31"/>
      <c r="L158" s="31"/>
      <c r="M158" s="31"/>
      <c r="N158" s="31"/>
      <c r="O158" s="17"/>
      <c r="P158" s="17"/>
    </row>
    <row r="159" spans="2:16" ht="15" hidden="1" thickTop="1">
      <c r="B159" s="31"/>
      <c r="C159" s="31"/>
      <c r="D159" s="31"/>
      <c r="E159" s="31"/>
      <c r="F159" s="31"/>
      <c r="G159" s="31"/>
      <c r="H159" s="725"/>
      <c r="I159" s="725"/>
      <c r="J159" s="720"/>
      <c r="K159" s="31"/>
      <c r="L159" s="31"/>
      <c r="M159" s="31"/>
      <c r="N159" s="31"/>
      <c r="O159" s="17"/>
      <c r="P159" s="17"/>
    </row>
    <row r="160" spans="2:16" ht="15" hidden="1" thickTop="1">
      <c r="B160" s="31"/>
      <c r="C160" s="31"/>
      <c r="D160" s="31"/>
      <c r="E160" s="31"/>
      <c r="F160" s="31"/>
      <c r="G160" s="31"/>
      <c r="H160" s="725"/>
      <c r="I160" s="725"/>
      <c r="J160" s="720"/>
      <c r="K160" s="31"/>
      <c r="L160" s="31"/>
      <c r="M160" s="31"/>
      <c r="N160" s="31"/>
      <c r="O160" s="17"/>
      <c r="P160" s="17"/>
    </row>
    <row r="161" spans="2:16" ht="15.75" thickTop="1">
      <c r="B161" s="31"/>
      <c r="C161" s="31"/>
      <c r="D161" s="31"/>
      <c r="E161" s="31"/>
      <c r="F161" s="31"/>
      <c r="G161" s="31"/>
      <c r="H161" s="725"/>
      <c r="I161" s="725"/>
      <c r="J161" s="720"/>
      <c r="K161" s="31"/>
      <c r="L161" s="31"/>
      <c r="M161" s="31"/>
      <c r="N161" s="31"/>
      <c r="O161" s="17"/>
      <c r="P161" s="17"/>
    </row>
    <row r="162" spans="2:121" s="455" customFormat="1" ht="15">
      <c r="B162" s="33" t="s">
        <v>1356</v>
      </c>
      <c r="C162" s="31"/>
      <c r="D162" s="31"/>
      <c r="E162" s="31"/>
      <c r="F162" s="31"/>
      <c r="G162" s="31"/>
      <c r="H162" s="725"/>
      <c r="I162" s="725"/>
      <c r="J162" s="720"/>
      <c r="K162" s="31"/>
      <c r="L162" s="31"/>
      <c r="M162" s="31"/>
      <c r="N162" s="31"/>
      <c r="O162" s="457"/>
      <c r="P162" s="457"/>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456"/>
      <c r="AX162" s="456"/>
      <c r="AY162" s="456"/>
      <c r="AZ162" s="456"/>
      <c r="BA162" s="456"/>
      <c r="CV162" s="456"/>
      <c r="CW162" s="456"/>
      <c r="CX162" s="456"/>
      <c r="CY162" s="456"/>
      <c r="CZ162" s="456"/>
      <c r="DA162" s="456"/>
      <c r="DB162" s="456"/>
      <c r="DC162" s="456"/>
      <c r="DD162" s="456"/>
      <c r="DE162" s="456"/>
      <c r="DF162" s="456"/>
      <c r="DG162" s="456"/>
      <c r="DH162" s="456"/>
      <c r="DI162" s="456"/>
      <c r="DJ162" s="456"/>
      <c r="DK162" s="456"/>
      <c r="DL162" s="456"/>
      <c r="DM162" s="456"/>
      <c r="DN162" s="456"/>
      <c r="DO162" s="456"/>
      <c r="DP162" s="456"/>
      <c r="DQ162" s="456"/>
    </row>
    <row r="163" spans="2:121" s="455" customFormat="1" ht="15">
      <c r="B163" s="33" t="s">
        <v>1357</v>
      </c>
      <c r="C163" s="31"/>
      <c r="D163" s="31"/>
      <c r="E163" s="31"/>
      <c r="F163" s="31"/>
      <c r="G163" s="31"/>
      <c r="H163" s="725"/>
      <c r="I163" s="725"/>
      <c r="J163" s="720"/>
      <c r="K163" s="31"/>
      <c r="L163" s="31"/>
      <c r="M163" s="31"/>
      <c r="N163" s="31"/>
      <c r="O163" s="457"/>
      <c r="P163" s="457"/>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456"/>
      <c r="AX163" s="456"/>
      <c r="AY163" s="456"/>
      <c r="AZ163" s="456"/>
      <c r="BA163" s="456"/>
      <c r="CV163" s="456"/>
      <c r="CW163" s="456"/>
      <c r="CX163" s="456"/>
      <c r="CY163" s="456"/>
      <c r="CZ163" s="456"/>
      <c r="DA163" s="456"/>
      <c r="DB163" s="456"/>
      <c r="DC163" s="456"/>
      <c r="DD163" s="456"/>
      <c r="DE163" s="456"/>
      <c r="DF163" s="456"/>
      <c r="DG163" s="456"/>
      <c r="DH163" s="456"/>
      <c r="DI163" s="456"/>
      <c r="DJ163" s="456"/>
      <c r="DK163" s="456"/>
      <c r="DL163" s="456"/>
      <c r="DM163" s="456"/>
      <c r="DN163" s="456"/>
      <c r="DO163" s="456"/>
      <c r="DP163" s="456"/>
      <c r="DQ163" s="456"/>
    </row>
    <row r="164" spans="2:121" s="455" customFormat="1" ht="18.75">
      <c r="B164" s="33" t="s">
        <v>1358</v>
      </c>
      <c r="C164" s="509"/>
      <c r="D164" s="387"/>
      <c r="E164" s="387"/>
      <c r="F164" s="387"/>
      <c r="G164" s="387"/>
      <c r="H164" s="457"/>
      <c r="I164" s="457"/>
      <c r="J164" s="499"/>
      <c r="K164" s="499"/>
      <c r="L164" s="460"/>
      <c r="M164" s="460"/>
      <c r="N164" s="460"/>
      <c r="O164" s="460"/>
      <c r="P164" s="460"/>
      <c r="Q164" s="457"/>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456"/>
      <c r="AX164" s="456"/>
      <c r="AY164" s="456"/>
      <c r="AZ164" s="456"/>
      <c r="BA164" s="456"/>
      <c r="CV164" s="456"/>
      <c r="CW164" s="456"/>
      <c r="CX164" s="456"/>
      <c r="CY164" s="456"/>
      <c r="CZ164" s="456"/>
      <c r="DA164" s="456"/>
      <c r="DB164" s="456"/>
      <c r="DC164" s="456"/>
      <c r="DD164" s="456"/>
      <c r="DE164" s="456"/>
      <c r="DF164" s="456"/>
      <c r="DG164" s="456"/>
      <c r="DH164" s="456"/>
      <c r="DI164" s="456"/>
      <c r="DJ164" s="456"/>
      <c r="DK164" s="456"/>
      <c r="DL164" s="456"/>
      <c r="DM164" s="456"/>
      <c r="DN164" s="456"/>
      <c r="DO164" s="456"/>
      <c r="DP164" s="456"/>
      <c r="DQ164" s="456"/>
    </row>
    <row r="165" spans="2:121" s="455" customFormat="1" ht="18.75">
      <c r="B165" s="33" t="s">
        <v>1365</v>
      </c>
      <c r="C165" s="509"/>
      <c r="D165" s="387"/>
      <c r="E165" s="387"/>
      <c r="F165" s="387"/>
      <c r="G165" s="387"/>
      <c r="H165" s="457"/>
      <c r="I165" s="457"/>
      <c r="J165" s="499"/>
      <c r="K165" s="499"/>
      <c r="L165" s="460"/>
      <c r="M165" s="460"/>
      <c r="N165" s="460"/>
      <c r="O165" s="460"/>
      <c r="P165" s="460"/>
      <c r="Q165" s="457"/>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456"/>
      <c r="AX165" s="456"/>
      <c r="AY165" s="456"/>
      <c r="AZ165" s="456"/>
      <c r="BA165" s="456"/>
      <c r="CV165" s="456"/>
      <c r="CW165" s="456"/>
      <c r="CX165" s="456"/>
      <c r="CY165" s="456"/>
      <c r="CZ165" s="456"/>
      <c r="DA165" s="456"/>
      <c r="DB165" s="456"/>
      <c r="DC165" s="456"/>
      <c r="DD165" s="456"/>
      <c r="DE165" s="456"/>
      <c r="DF165" s="456"/>
      <c r="DG165" s="456"/>
      <c r="DH165" s="456"/>
      <c r="DI165" s="456"/>
      <c r="DJ165" s="456"/>
      <c r="DK165" s="456"/>
      <c r="DL165" s="456"/>
      <c r="DM165" s="456"/>
      <c r="DN165" s="456"/>
      <c r="DO165" s="456"/>
      <c r="DP165" s="456"/>
      <c r="DQ165" s="456"/>
    </row>
    <row r="166" spans="2:121" s="455" customFormat="1" ht="18.75">
      <c r="B166" s="33" t="s">
        <v>1366</v>
      </c>
      <c r="C166" s="509"/>
      <c r="D166" s="387"/>
      <c r="E166" s="387"/>
      <c r="F166" s="387"/>
      <c r="G166" s="387"/>
      <c r="H166" s="457"/>
      <c r="I166" s="457"/>
      <c r="J166" s="499"/>
      <c r="K166" s="499"/>
      <c r="L166" s="460"/>
      <c r="M166" s="460"/>
      <c r="N166" s="460"/>
      <c r="O166" s="460"/>
      <c r="P166" s="460"/>
      <c r="Q166" s="457"/>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456"/>
      <c r="AX166" s="456"/>
      <c r="AY166" s="456"/>
      <c r="AZ166" s="456"/>
      <c r="BA166" s="456"/>
      <c r="CV166" s="456"/>
      <c r="CW166" s="456"/>
      <c r="CX166" s="456"/>
      <c r="CY166" s="456"/>
      <c r="CZ166" s="456"/>
      <c r="DA166" s="456"/>
      <c r="DB166" s="456"/>
      <c r="DC166" s="456"/>
      <c r="DD166" s="456"/>
      <c r="DE166" s="456"/>
      <c r="DF166" s="456"/>
      <c r="DG166" s="456"/>
      <c r="DH166" s="456"/>
      <c r="DI166" s="456"/>
      <c r="DJ166" s="456"/>
      <c r="DK166" s="456"/>
      <c r="DL166" s="456"/>
      <c r="DM166" s="456"/>
      <c r="DN166" s="456"/>
      <c r="DO166" s="456"/>
      <c r="DP166" s="456"/>
      <c r="DQ166" s="456"/>
    </row>
    <row r="167" spans="2:121" s="455" customFormat="1" ht="18.75">
      <c r="B167" s="33" t="s">
        <v>1367</v>
      </c>
      <c r="C167" s="509"/>
      <c r="D167" s="387"/>
      <c r="E167" s="387"/>
      <c r="F167" s="387"/>
      <c r="G167" s="387"/>
      <c r="H167" s="457"/>
      <c r="I167" s="457"/>
      <c r="J167" s="499"/>
      <c r="K167" s="499"/>
      <c r="L167" s="460"/>
      <c r="M167" s="460"/>
      <c r="N167" s="460"/>
      <c r="O167" s="460"/>
      <c r="P167" s="460"/>
      <c r="Q167" s="457"/>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456"/>
      <c r="AX167" s="456"/>
      <c r="AY167" s="456"/>
      <c r="AZ167" s="456"/>
      <c r="BA167" s="456"/>
      <c r="CV167" s="456"/>
      <c r="CW167" s="456"/>
      <c r="CX167" s="456"/>
      <c r="CY167" s="456"/>
      <c r="CZ167" s="456"/>
      <c r="DA167" s="456"/>
      <c r="DB167" s="456"/>
      <c r="DC167" s="456"/>
      <c r="DD167" s="456"/>
      <c r="DE167" s="456"/>
      <c r="DF167" s="456"/>
      <c r="DG167" s="456"/>
      <c r="DH167" s="456"/>
      <c r="DI167" s="456"/>
      <c r="DJ167" s="456"/>
      <c r="DK167" s="456"/>
      <c r="DL167" s="456"/>
      <c r="DM167" s="456"/>
      <c r="DN167" s="456"/>
      <c r="DO167" s="456"/>
      <c r="DP167" s="456"/>
      <c r="DQ167" s="456"/>
    </row>
    <row r="168" spans="2:121" s="455" customFormat="1" ht="18.75">
      <c r="B168" s="450"/>
      <c r="C168" s="509"/>
      <c r="D168" s="387"/>
      <c r="E168" s="387"/>
      <c r="F168" s="387"/>
      <c r="G168" s="387"/>
      <c r="H168" s="457"/>
      <c r="I168" s="457"/>
      <c r="J168" s="499"/>
      <c r="K168" s="499"/>
      <c r="L168" s="460"/>
      <c r="M168" s="460"/>
      <c r="N168" s="460"/>
      <c r="O168" s="460"/>
      <c r="P168" s="460"/>
      <c r="Q168" s="457"/>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456"/>
      <c r="AX168" s="456"/>
      <c r="AY168" s="456"/>
      <c r="AZ168" s="456"/>
      <c r="BA168" s="456"/>
      <c r="CV168" s="456"/>
      <c r="CW168" s="456"/>
      <c r="CX168" s="456"/>
      <c r="CY168" s="456"/>
      <c r="CZ168" s="456"/>
      <c r="DA168" s="456"/>
      <c r="DB168" s="456"/>
      <c r="DC168" s="456"/>
      <c r="DD168" s="456"/>
      <c r="DE168" s="456"/>
      <c r="DF168" s="456"/>
      <c r="DG168" s="456"/>
      <c r="DH168" s="456"/>
      <c r="DI168" s="456"/>
      <c r="DJ168" s="456"/>
      <c r="DK168" s="456"/>
      <c r="DL168" s="456"/>
      <c r="DM168" s="456"/>
      <c r="DN168" s="456"/>
      <c r="DO168" s="456"/>
      <c r="DP168" s="456"/>
      <c r="DQ168" s="456"/>
    </row>
    <row r="169" spans="2:16" ht="20.25">
      <c r="B169" s="514" t="s">
        <v>587</v>
      </c>
      <c r="C169" s="31"/>
      <c r="D169" s="31"/>
      <c r="E169" s="31"/>
      <c r="F169" s="31"/>
      <c r="G169" s="31"/>
      <c r="H169" s="31"/>
      <c r="I169" s="31"/>
      <c r="J169" s="31"/>
      <c r="K169" s="31"/>
      <c r="L169" s="31"/>
      <c r="M169" s="31"/>
      <c r="N169" s="31"/>
      <c r="O169" s="32"/>
      <c r="P169" s="32"/>
    </row>
    <row r="170" spans="2:17" ht="24" customHeight="1">
      <c r="B170" s="31"/>
      <c r="C170" s="31"/>
      <c r="D170" s="31"/>
      <c r="E170" s="31"/>
      <c r="F170" s="31"/>
      <c r="G170" s="31"/>
      <c r="H170" s="58" t="s">
        <v>495</v>
      </c>
      <c r="I170" s="58"/>
      <c r="J170" s="58" t="s">
        <v>495</v>
      </c>
      <c r="K170" s="58" t="s">
        <v>495</v>
      </c>
      <c r="L170" s="58" t="s">
        <v>495</v>
      </c>
      <c r="M170" s="58" t="s">
        <v>495</v>
      </c>
      <c r="N170" s="819" t="s">
        <v>525</v>
      </c>
      <c r="O170" s="819"/>
      <c r="P170" s="820" t="s">
        <v>525</v>
      </c>
      <c r="Q170" s="820"/>
    </row>
    <row r="171" spans="1:17" ht="20.25">
      <c r="A171" s="456"/>
      <c r="B171" s="516" t="s">
        <v>3</v>
      </c>
      <c r="C171" s="387"/>
      <c r="D171" s="387"/>
      <c r="E171" s="387"/>
      <c r="F171" s="387"/>
      <c r="G171" s="387"/>
      <c r="H171" s="32">
        <v>2023</v>
      </c>
      <c r="I171" s="32"/>
      <c r="J171" s="451">
        <v>2022</v>
      </c>
      <c r="K171" s="451">
        <v>2021</v>
      </c>
      <c r="L171" s="32">
        <v>2020</v>
      </c>
      <c r="M171" s="32">
        <v>2019</v>
      </c>
      <c r="N171" s="32">
        <v>2018</v>
      </c>
      <c r="O171" s="32"/>
      <c r="P171" s="32">
        <v>2017</v>
      </c>
      <c r="Q171" s="57">
        <v>2016</v>
      </c>
    </row>
    <row r="172" spans="2:24" ht="18.75">
      <c r="B172" s="511" t="s">
        <v>408</v>
      </c>
      <c r="C172" s="511"/>
      <c r="D172" s="31"/>
      <c r="E172" s="31"/>
      <c r="F172" s="31"/>
      <c r="G172" s="31"/>
      <c r="H172" s="664">
        <v>293387.76</v>
      </c>
      <c r="I172" s="664"/>
      <c r="J172" s="664">
        <v>293387.76</v>
      </c>
      <c r="K172" s="51">
        <v>293427.76</v>
      </c>
      <c r="L172" s="51">
        <v>293387.76</v>
      </c>
      <c r="M172" s="51">
        <v>293387.76</v>
      </c>
      <c r="N172" s="17">
        <v>293387.65</v>
      </c>
      <c r="O172" s="17">
        <v>293387.64</v>
      </c>
      <c r="P172" s="17">
        <v>293387.64</v>
      </c>
      <c r="Q172" s="50">
        <v>293387.64</v>
      </c>
      <c r="U172" s="506">
        <f>+J172+J269</f>
        <v>6196003.09</v>
      </c>
      <c r="V172" s="506">
        <f>SUM(J173:J206)</f>
        <v>3167959.4900000007</v>
      </c>
      <c r="W172" s="506"/>
      <c r="X172" s="506"/>
    </row>
    <row r="173" spans="2:24" ht="18.75">
      <c r="B173" s="511" t="s">
        <v>423</v>
      </c>
      <c r="C173" s="511"/>
      <c r="D173" s="31"/>
      <c r="E173" s="31"/>
      <c r="F173" s="31"/>
      <c r="G173" s="31"/>
      <c r="H173" s="664">
        <v>1896950.48</v>
      </c>
      <c r="I173" s="664"/>
      <c r="J173" s="664">
        <v>1774100.79</v>
      </c>
      <c r="K173" s="51">
        <v>1743774.82</v>
      </c>
      <c r="L173" s="51">
        <v>2279339.02</v>
      </c>
      <c r="M173" s="51">
        <v>344596.85</v>
      </c>
      <c r="N173" s="17">
        <v>344596.85</v>
      </c>
      <c r="O173" s="17">
        <v>842607.56</v>
      </c>
      <c r="P173" s="17">
        <v>604399.08</v>
      </c>
      <c r="Q173" s="17">
        <v>776384.03</v>
      </c>
      <c r="U173" s="506">
        <f>+J207+J208+J209+J211</f>
        <v>1454971.68</v>
      </c>
      <c r="V173" s="506">
        <f>SUM(J212:J238)</f>
        <v>2232520.8200000003</v>
      </c>
      <c r="W173" s="506"/>
      <c r="X173" s="506"/>
    </row>
    <row r="174" spans="2:17" ht="18" hidden="1">
      <c r="B174" s="511" t="s">
        <v>424</v>
      </c>
      <c r="C174" s="511"/>
      <c r="D174" s="31"/>
      <c r="E174" s="31"/>
      <c r="F174" s="31"/>
      <c r="G174" s="31"/>
      <c r="H174" s="664"/>
      <c r="I174" s="664"/>
      <c r="J174" s="664"/>
      <c r="K174" s="31"/>
      <c r="L174" s="51"/>
      <c r="M174" s="51"/>
      <c r="N174" s="17"/>
      <c r="O174" s="17"/>
      <c r="P174" s="17"/>
      <c r="Q174" s="17"/>
    </row>
    <row r="175" spans="2:17" ht="18" hidden="1">
      <c r="B175" s="511" t="s">
        <v>523</v>
      </c>
      <c r="C175" s="511"/>
      <c r="D175" s="31"/>
      <c r="E175" s="31"/>
      <c r="F175" s="31"/>
      <c r="G175" s="31"/>
      <c r="H175" s="664"/>
      <c r="I175" s="664"/>
      <c r="J175" s="664"/>
      <c r="K175" s="51"/>
      <c r="L175" s="51">
        <v>41300.04</v>
      </c>
      <c r="M175" s="51">
        <v>41300</v>
      </c>
      <c r="N175" s="17">
        <v>41300</v>
      </c>
      <c r="O175" s="17">
        <v>4492.58</v>
      </c>
      <c r="P175" s="17">
        <v>41300</v>
      </c>
      <c r="Q175" s="17">
        <v>14175.09</v>
      </c>
    </row>
    <row r="176" spans="2:24" ht="18.75">
      <c r="B176" s="511" t="s">
        <v>425</v>
      </c>
      <c r="C176" s="511"/>
      <c r="D176" s="31"/>
      <c r="E176" s="31"/>
      <c r="F176" s="31"/>
      <c r="G176" s="31"/>
      <c r="H176" s="664">
        <v>563279.46</v>
      </c>
      <c r="I176" s="664"/>
      <c r="J176" s="664">
        <v>404881.44</v>
      </c>
      <c r="K176" s="51">
        <v>385807.79</v>
      </c>
      <c r="L176" s="51">
        <v>481272.5</v>
      </c>
      <c r="M176" s="51">
        <v>277104.14</v>
      </c>
      <c r="N176" s="17">
        <v>277104.14</v>
      </c>
      <c r="O176" s="17">
        <v>267603.98</v>
      </c>
      <c r="P176" s="17">
        <v>299510.11</v>
      </c>
      <c r="Q176" s="17">
        <v>313789.64</v>
      </c>
      <c r="V176" s="506">
        <f>+J247+J248+J249+J254+J256+J271</f>
        <v>20123.68</v>
      </c>
      <c r="W176" s="506"/>
      <c r="X176" s="506"/>
    </row>
    <row r="177" spans="2:24" ht="18.75">
      <c r="B177" s="511" t="s">
        <v>4</v>
      </c>
      <c r="C177" s="511"/>
      <c r="D177" s="31"/>
      <c r="E177" s="31"/>
      <c r="F177" s="31"/>
      <c r="G177" s="31"/>
      <c r="H177" s="664">
        <v>1297.8</v>
      </c>
      <c r="I177" s="664"/>
      <c r="J177" s="664">
        <v>483.72</v>
      </c>
      <c r="K177" s="51">
        <v>483.72</v>
      </c>
      <c r="L177" s="51">
        <v>6354.23</v>
      </c>
      <c r="M177" s="51">
        <v>11741</v>
      </c>
      <c r="N177" s="17">
        <v>11741</v>
      </c>
      <c r="O177" s="17">
        <v>2064.05</v>
      </c>
      <c r="P177" s="17">
        <v>11741</v>
      </c>
      <c r="Q177" s="17">
        <v>8136.53</v>
      </c>
      <c r="V177" s="506">
        <f>+V172+V173+V176</f>
        <v>5420603.99</v>
      </c>
      <c r="W177" s="506"/>
      <c r="X177" s="506"/>
    </row>
    <row r="178" spans="2:24" ht="18.75">
      <c r="B178" s="511" t="s">
        <v>426</v>
      </c>
      <c r="C178" s="511"/>
      <c r="D178" s="31"/>
      <c r="E178" s="31"/>
      <c r="F178" s="31"/>
      <c r="G178" s="31"/>
      <c r="H178" s="664">
        <v>6523.32</v>
      </c>
      <c r="I178" s="664"/>
      <c r="J178" s="664">
        <v>5617.36</v>
      </c>
      <c r="K178" s="51">
        <v>6707.2</v>
      </c>
      <c r="L178" s="51">
        <v>7537.44</v>
      </c>
      <c r="M178" s="51">
        <v>5739.75</v>
      </c>
      <c r="N178" s="17">
        <v>5739.75</v>
      </c>
      <c r="O178" s="17">
        <v>5847.42</v>
      </c>
      <c r="P178" s="17">
        <v>4338.18</v>
      </c>
      <c r="Q178" s="17">
        <v>4709.69</v>
      </c>
      <c r="V178" s="506">
        <f>+V177+'Célula No.14 AF DIGECOG'!E36</f>
        <v>0</v>
      </c>
      <c r="W178" s="506"/>
      <c r="X178" s="506"/>
    </row>
    <row r="179" spans="2:24" ht="18.75">
      <c r="B179" s="511" t="s">
        <v>427</v>
      </c>
      <c r="C179" s="511"/>
      <c r="D179" s="31"/>
      <c r="E179" s="31"/>
      <c r="F179" s="31"/>
      <c r="G179" s="31"/>
      <c r="H179" s="664">
        <v>115443.53</v>
      </c>
      <c r="I179" s="664"/>
      <c r="J179" s="664">
        <v>92958.24</v>
      </c>
      <c r="K179" s="51">
        <v>87006.83</v>
      </c>
      <c r="L179" s="51">
        <v>122194.64</v>
      </c>
      <c r="M179" s="51">
        <v>190841.05</v>
      </c>
      <c r="N179" s="17">
        <v>190841.05</v>
      </c>
      <c r="O179" s="17">
        <v>146402.64</v>
      </c>
      <c r="P179" s="17">
        <v>186685.5</v>
      </c>
      <c r="Q179" s="17">
        <v>201992.53</v>
      </c>
      <c r="V179" s="506">
        <f>+J239+J241+J257+J263</f>
        <v>460045.07999999996</v>
      </c>
      <c r="W179" s="506"/>
      <c r="X179" s="506"/>
    </row>
    <row r="180" spans="1:121" s="455" customFormat="1" ht="18.75">
      <c r="A180" s="455" t="s">
        <v>96</v>
      </c>
      <c r="B180" s="511" t="s">
        <v>944</v>
      </c>
      <c r="C180" s="511"/>
      <c r="D180" s="31"/>
      <c r="E180" s="31"/>
      <c r="F180" s="31"/>
      <c r="G180" s="31"/>
      <c r="H180" s="664">
        <v>4708.08</v>
      </c>
      <c r="I180" s="664"/>
      <c r="J180" s="664"/>
      <c r="K180" s="458"/>
      <c r="L180" s="458"/>
      <c r="M180" s="458"/>
      <c r="N180" s="457"/>
      <c r="O180" s="457"/>
      <c r="P180" s="457"/>
      <c r="Q180" s="457"/>
      <c r="S180" s="169"/>
      <c r="T180" s="169"/>
      <c r="U180" s="169"/>
      <c r="V180" s="506"/>
      <c r="W180" s="506"/>
      <c r="X180" s="506"/>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456"/>
      <c r="AX180" s="456"/>
      <c r="AY180" s="456"/>
      <c r="AZ180" s="456"/>
      <c r="BA180" s="456"/>
      <c r="CV180" s="456"/>
      <c r="CW180" s="456"/>
      <c r="CX180" s="456"/>
      <c r="CY180" s="456"/>
      <c r="CZ180" s="456"/>
      <c r="DA180" s="456"/>
      <c r="DB180" s="456"/>
      <c r="DC180" s="456"/>
      <c r="DD180" s="456"/>
      <c r="DE180" s="456"/>
      <c r="DF180" s="456"/>
      <c r="DG180" s="456"/>
      <c r="DH180" s="456"/>
      <c r="DI180" s="456"/>
      <c r="DJ180" s="456"/>
      <c r="DK180" s="456"/>
      <c r="DL180" s="456"/>
      <c r="DM180" s="456"/>
      <c r="DN180" s="456"/>
      <c r="DO180" s="456"/>
      <c r="DP180" s="456"/>
      <c r="DQ180" s="456"/>
    </row>
    <row r="181" spans="1:121" s="455" customFormat="1" ht="18.75">
      <c r="A181" s="455" t="s">
        <v>96</v>
      </c>
      <c r="B181" s="511" t="s">
        <v>945</v>
      </c>
      <c r="C181" s="511"/>
      <c r="D181" s="31"/>
      <c r="E181" s="31"/>
      <c r="F181" s="31"/>
      <c r="G181" s="31"/>
      <c r="H181" s="664">
        <v>8064.18</v>
      </c>
      <c r="I181" s="664"/>
      <c r="J181" s="664"/>
      <c r="K181" s="458"/>
      <c r="L181" s="458"/>
      <c r="M181" s="458"/>
      <c r="N181" s="457"/>
      <c r="O181" s="457"/>
      <c r="P181" s="457"/>
      <c r="Q181" s="457"/>
      <c r="S181" s="169"/>
      <c r="T181" s="169"/>
      <c r="U181" s="169"/>
      <c r="V181" s="506"/>
      <c r="W181" s="506"/>
      <c r="X181" s="506"/>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456"/>
      <c r="AX181" s="456"/>
      <c r="AY181" s="456"/>
      <c r="AZ181" s="456"/>
      <c r="BA181" s="456"/>
      <c r="CV181" s="456"/>
      <c r="CW181" s="456"/>
      <c r="CX181" s="456"/>
      <c r="CY181" s="456"/>
      <c r="CZ181" s="456"/>
      <c r="DA181" s="456"/>
      <c r="DB181" s="456"/>
      <c r="DC181" s="456"/>
      <c r="DD181" s="456"/>
      <c r="DE181" s="456"/>
      <c r="DF181" s="456"/>
      <c r="DG181" s="456"/>
      <c r="DH181" s="456"/>
      <c r="DI181" s="456"/>
      <c r="DJ181" s="456"/>
      <c r="DK181" s="456"/>
      <c r="DL181" s="456"/>
      <c r="DM181" s="456"/>
      <c r="DN181" s="456"/>
      <c r="DO181" s="456"/>
      <c r="DP181" s="456"/>
      <c r="DQ181" s="456"/>
    </row>
    <row r="182" spans="2:24" ht="18.75">
      <c r="B182" s="511" t="s">
        <v>428</v>
      </c>
      <c r="C182" s="511"/>
      <c r="D182" s="31"/>
      <c r="E182" s="31"/>
      <c r="F182" s="31"/>
      <c r="G182" s="31"/>
      <c r="H182" s="664">
        <v>740796.54</v>
      </c>
      <c r="I182" s="664"/>
      <c r="J182" s="664">
        <v>809768.31</v>
      </c>
      <c r="K182" s="51">
        <v>804360.56</v>
      </c>
      <c r="L182" s="51">
        <v>475143.09</v>
      </c>
      <c r="M182" s="51">
        <v>132452.82</v>
      </c>
      <c r="N182" s="17">
        <v>132452.82</v>
      </c>
      <c r="O182" s="17">
        <v>154617.3</v>
      </c>
      <c r="P182" s="17">
        <v>81484.47</v>
      </c>
      <c r="Q182" s="17">
        <v>74114.59</v>
      </c>
      <c r="V182" s="506">
        <f>+V179+'Célula No.14 AF DIGECOG'!D36</f>
        <v>-124449.93000000005</v>
      </c>
      <c r="W182" s="506"/>
      <c r="X182" s="506"/>
    </row>
    <row r="183" spans="2:17" ht="18.75">
      <c r="B183" s="511" t="s">
        <v>429</v>
      </c>
      <c r="C183" s="511"/>
      <c r="D183" s="31"/>
      <c r="E183" s="31"/>
      <c r="F183" s="31"/>
      <c r="G183" s="31"/>
      <c r="H183" s="664">
        <v>11559.77</v>
      </c>
      <c r="I183" s="664"/>
      <c r="J183" s="664">
        <v>3551.76</v>
      </c>
      <c r="K183" s="51">
        <v>3801.68</v>
      </c>
      <c r="L183" s="51">
        <v>26780.31</v>
      </c>
      <c r="M183" s="51">
        <v>17860.04</v>
      </c>
      <c r="N183" s="17">
        <v>17860.04</v>
      </c>
      <c r="O183" s="17">
        <v>8502.95</v>
      </c>
      <c r="P183" s="17">
        <v>8532.47</v>
      </c>
      <c r="Q183" s="17">
        <v>5948.25</v>
      </c>
    </row>
    <row r="184" spans="2:17" ht="18" hidden="1">
      <c r="B184" s="511" t="s">
        <v>430</v>
      </c>
      <c r="C184" s="511"/>
      <c r="D184" s="31"/>
      <c r="E184" s="31"/>
      <c r="F184" s="31"/>
      <c r="G184" s="31"/>
      <c r="H184" s="664"/>
      <c r="I184" s="664"/>
      <c r="J184" s="664"/>
      <c r="K184" s="51"/>
      <c r="L184" s="51"/>
      <c r="M184" s="51"/>
      <c r="N184" s="17"/>
      <c r="O184" s="17"/>
      <c r="P184" s="17"/>
      <c r="Q184" s="17"/>
    </row>
    <row r="185" spans="2:17" ht="18" hidden="1">
      <c r="B185" s="511" t="s">
        <v>431</v>
      </c>
      <c r="C185" s="511"/>
      <c r="D185" s="31"/>
      <c r="E185" s="31"/>
      <c r="F185" s="31"/>
      <c r="G185" s="31"/>
      <c r="H185" s="664"/>
      <c r="I185" s="664"/>
      <c r="J185" s="664"/>
      <c r="K185" s="51"/>
      <c r="L185" s="51"/>
      <c r="M185" s="51"/>
      <c r="N185" s="17"/>
      <c r="O185" s="17"/>
      <c r="P185" s="17"/>
      <c r="Q185" s="17"/>
    </row>
    <row r="186" spans="2:24" ht="18.75">
      <c r="B186" s="511" t="s">
        <v>517</v>
      </c>
      <c r="C186" s="511"/>
      <c r="D186" s="31"/>
      <c r="E186" s="31"/>
      <c r="F186" s="31"/>
      <c r="G186" s="31"/>
      <c r="H186" s="664">
        <v>2499.96</v>
      </c>
      <c r="I186" s="664"/>
      <c r="J186" s="664">
        <v>2499.96</v>
      </c>
      <c r="K186" s="51">
        <v>2499.96</v>
      </c>
      <c r="L186" s="51">
        <v>60465.48</v>
      </c>
      <c r="M186" s="51">
        <v>84593.66</v>
      </c>
      <c r="N186" s="17">
        <v>84593.66</v>
      </c>
      <c r="O186" s="17"/>
      <c r="P186" s="17">
        <v>84593.66</v>
      </c>
      <c r="Q186" s="17">
        <v>49346.3</v>
      </c>
      <c r="V186" s="506">
        <f>+U172+U173+V177+V179</f>
        <v>13531623.84</v>
      </c>
      <c r="W186" s="506"/>
      <c r="X186" s="506"/>
    </row>
    <row r="187" spans="2:121" s="455" customFormat="1" ht="18.75">
      <c r="B187" s="511" t="s">
        <v>946</v>
      </c>
      <c r="C187" s="511"/>
      <c r="D187" s="31"/>
      <c r="E187" s="31"/>
      <c r="F187" s="31"/>
      <c r="G187" s="31"/>
      <c r="H187" s="664">
        <v>298.98</v>
      </c>
      <c r="I187" s="664"/>
      <c r="J187" s="664"/>
      <c r="K187" s="458"/>
      <c r="L187" s="458"/>
      <c r="M187" s="458"/>
      <c r="N187" s="457"/>
      <c r="O187" s="457"/>
      <c r="P187" s="457"/>
      <c r="Q187" s="457"/>
      <c r="S187" s="169"/>
      <c r="T187" s="169"/>
      <c r="U187" s="169"/>
      <c r="V187" s="506"/>
      <c r="W187" s="506"/>
      <c r="X187" s="506"/>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456"/>
      <c r="AX187" s="456"/>
      <c r="AY187" s="456"/>
      <c r="AZ187" s="456"/>
      <c r="BA187" s="456"/>
      <c r="CV187" s="456"/>
      <c r="CW187" s="456"/>
      <c r="CX187" s="456"/>
      <c r="CY187" s="456"/>
      <c r="CZ187" s="456"/>
      <c r="DA187" s="456"/>
      <c r="DB187" s="456"/>
      <c r="DC187" s="456"/>
      <c r="DD187" s="456"/>
      <c r="DE187" s="456"/>
      <c r="DF187" s="456"/>
      <c r="DG187" s="456"/>
      <c r="DH187" s="456"/>
      <c r="DI187" s="456"/>
      <c r="DJ187" s="456"/>
      <c r="DK187" s="456"/>
      <c r="DL187" s="456"/>
      <c r="DM187" s="456"/>
      <c r="DN187" s="456"/>
      <c r="DO187" s="456"/>
      <c r="DP187" s="456"/>
      <c r="DQ187" s="456"/>
    </row>
    <row r="188" spans="2:17" ht="18" hidden="1">
      <c r="B188" s="511" t="s">
        <v>427</v>
      </c>
      <c r="C188" s="511"/>
      <c r="D188" s="31"/>
      <c r="E188" s="31"/>
      <c r="F188" s="31"/>
      <c r="G188" s="31"/>
      <c r="H188" s="664"/>
      <c r="I188" s="664"/>
      <c r="J188" s="664"/>
      <c r="K188" s="51"/>
      <c r="L188" s="51"/>
      <c r="M188" s="51"/>
      <c r="N188" s="17"/>
      <c r="O188" s="17">
        <v>1495.31</v>
      </c>
      <c r="P188" s="17"/>
      <c r="Q188" s="17">
        <v>271.87</v>
      </c>
    </row>
    <row r="189" spans="2:17" ht="18" hidden="1">
      <c r="B189" s="511" t="s">
        <v>432</v>
      </c>
      <c r="C189" s="511"/>
      <c r="D189" s="31"/>
      <c r="E189" s="31"/>
      <c r="F189" s="31"/>
      <c r="G189" s="31"/>
      <c r="H189" s="664"/>
      <c r="I189" s="664"/>
      <c r="J189" s="664"/>
      <c r="K189" s="51"/>
      <c r="L189" s="51">
        <v>2242.07</v>
      </c>
      <c r="M189" s="51">
        <v>3702.48</v>
      </c>
      <c r="N189" s="17">
        <v>3702.54</v>
      </c>
      <c r="O189" s="17">
        <v>4250</v>
      </c>
      <c r="P189" s="17">
        <v>4410.88</v>
      </c>
      <c r="Q189" s="17">
        <v>4357.25</v>
      </c>
    </row>
    <row r="190" spans="2:24" ht="18.75">
      <c r="B190" s="511" t="s">
        <v>433</v>
      </c>
      <c r="C190" s="511"/>
      <c r="D190" s="31"/>
      <c r="E190" s="31"/>
      <c r="F190" s="31"/>
      <c r="G190" s="31"/>
      <c r="H190" s="664">
        <v>5546.72</v>
      </c>
      <c r="I190" s="664"/>
      <c r="J190" s="664">
        <v>3499.92</v>
      </c>
      <c r="K190" s="51">
        <v>3499.92</v>
      </c>
      <c r="L190" s="51">
        <v>11768.21</v>
      </c>
      <c r="M190" s="51">
        <v>57556.91</v>
      </c>
      <c r="N190" s="17">
        <v>57556.91</v>
      </c>
      <c r="O190" s="17">
        <v>12954.5</v>
      </c>
      <c r="P190" s="17">
        <v>30201.43</v>
      </c>
      <c r="Q190" s="17">
        <v>14968.36</v>
      </c>
      <c r="V190" s="506">
        <f>+V186+'Célula No.14 AF DIGECOG'!H36</f>
        <v>-124449.9299999997</v>
      </c>
      <c r="W190" s="506"/>
      <c r="X190" s="506"/>
    </row>
    <row r="191" spans="2:17" ht="18.75">
      <c r="B191" s="511" t="s">
        <v>524</v>
      </c>
      <c r="C191" s="511"/>
      <c r="D191" s="31"/>
      <c r="E191" s="31"/>
      <c r="F191" s="31"/>
      <c r="G191" s="31"/>
      <c r="H191" s="664">
        <v>11999.94</v>
      </c>
      <c r="I191" s="664"/>
      <c r="J191" s="664"/>
      <c r="K191" s="51">
        <v>0</v>
      </c>
      <c r="L191" s="51">
        <v>8052.9</v>
      </c>
      <c r="M191" s="51">
        <v>16105.7</v>
      </c>
      <c r="N191" s="17">
        <v>16105.7</v>
      </c>
      <c r="O191" s="17"/>
      <c r="P191" s="17">
        <v>4026.42</v>
      </c>
      <c r="Q191" s="17"/>
    </row>
    <row r="192" spans="2:17" ht="18" hidden="1">
      <c r="B192" s="511" t="s">
        <v>434</v>
      </c>
      <c r="C192" s="511"/>
      <c r="D192" s="31"/>
      <c r="E192" s="31"/>
      <c r="F192" s="31"/>
      <c r="G192" s="31"/>
      <c r="H192" s="664"/>
      <c r="I192" s="664"/>
      <c r="J192" s="664"/>
      <c r="K192" s="51"/>
      <c r="L192" s="51"/>
      <c r="M192" s="51"/>
      <c r="N192" s="17"/>
      <c r="O192" s="17">
        <v>688.75</v>
      </c>
      <c r="P192" s="17"/>
      <c r="Q192" s="17"/>
    </row>
    <row r="193" spans="2:17" ht="18" hidden="1">
      <c r="B193" s="511" t="s">
        <v>518</v>
      </c>
      <c r="C193" s="511"/>
      <c r="D193" s="31"/>
      <c r="E193" s="31"/>
      <c r="F193" s="31"/>
      <c r="G193" s="31"/>
      <c r="H193" s="664"/>
      <c r="I193" s="664"/>
      <c r="J193" s="664"/>
      <c r="K193" s="51"/>
      <c r="L193" s="51">
        <v>1405.13</v>
      </c>
      <c r="M193" s="51">
        <v>2720.99</v>
      </c>
      <c r="N193" s="17">
        <v>2720.99</v>
      </c>
      <c r="O193" s="17"/>
      <c r="P193" s="17">
        <v>1222.68</v>
      </c>
      <c r="Q193" s="17">
        <v>229.58</v>
      </c>
    </row>
    <row r="194" spans="2:17" ht="18.75">
      <c r="B194" s="511" t="s">
        <v>947</v>
      </c>
      <c r="C194" s="511"/>
      <c r="D194" s="31"/>
      <c r="E194" s="31"/>
      <c r="F194" s="31"/>
      <c r="G194" s="31"/>
      <c r="H194" s="664">
        <v>1511.52</v>
      </c>
      <c r="I194" s="664"/>
      <c r="J194" s="664"/>
      <c r="K194" s="51"/>
      <c r="L194" s="51">
        <v>25978.68</v>
      </c>
      <c r="M194" s="51"/>
      <c r="N194" s="17"/>
      <c r="O194" s="17">
        <v>1495.31</v>
      </c>
      <c r="P194" s="17"/>
      <c r="Q194" s="17">
        <v>271.87</v>
      </c>
    </row>
    <row r="195" spans="2:24" ht="18.75">
      <c r="B195" s="511" t="s">
        <v>435</v>
      </c>
      <c r="C195" s="511"/>
      <c r="D195" s="31"/>
      <c r="E195" s="31"/>
      <c r="F195" s="31"/>
      <c r="G195" s="31"/>
      <c r="H195" s="664">
        <v>34444.8</v>
      </c>
      <c r="I195" s="664"/>
      <c r="J195" s="664">
        <v>12639.24</v>
      </c>
      <c r="K195" s="51">
        <v>12639.24</v>
      </c>
      <c r="L195" s="51">
        <v>1233.18</v>
      </c>
      <c r="M195" s="51"/>
      <c r="N195" s="17"/>
      <c r="O195" s="17">
        <v>31918.1</v>
      </c>
      <c r="P195" s="17"/>
      <c r="Q195" s="17"/>
      <c r="V195" s="506">
        <f>+V186+J272+J273</f>
        <v>15997928.379999999</v>
      </c>
      <c r="W195" s="506"/>
      <c r="X195" s="506"/>
    </row>
    <row r="196" spans="2:17" ht="18.75">
      <c r="B196" s="511" t="s">
        <v>436</v>
      </c>
      <c r="C196" s="511"/>
      <c r="D196" s="31"/>
      <c r="E196" s="31"/>
      <c r="F196" s="31"/>
      <c r="G196" s="31"/>
      <c r="H196" s="664">
        <v>20118.36</v>
      </c>
      <c r="I196" s="664"/>
      <c r="J196" s="664">
        <v>19854.96</v>
      </c>
      <c r="K196" s="51">
        <v>4081.18</v>
      </c>
      <c r="L196" s="51">
        <v>10091</v>
      </c>
      <c r="M196" s="51">
        <v>0</v>
      </c>
      <c r="N196" s="17">
        <v>0</v>
      </c>
      <c r="O196" s="17">
        <v>48314.74</v>
      </c>
      <c r="P196" s="17">
        <v>2374.75</v>
      </c>
      <c r="Q196" s="17">
        <v>19271.1</v>
      </c>
    </row>
    <row r="197" spans="2:121" s="4" customFormat="1" ht="18.75">
      <c r="B197" s="511" t="s">
        <v>669</v>
      </c>
      <c r="C197" s="511"/>
      <c r="D197" s="31"/>
      <c r="E197" s="31"/>
      <c r="F197" s="31"/>
      <c r="G197" s="31"/>
      <c r="H197" s="664">
        <v>12835.2</v>
      </c>
      <c r="I197" s="664"/>
      <c r="J197" s="664">
        <v>12835.2</v>
      </c>
      <c r="K197" s="51">
        <v>1069.6</v>
      </c>
      <c r="L197" s="51"/>
      <c r="M197" s="51"/>
      <c r="N197" s="17"/>
      <c r="O197" s="17"/>
      <c r="P197" s="17"/>
      <c r="Q197" s="17"/>
      <c r="S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8"/>
      <c r="AX197" s="168"/>
      <c r="AY197" s="168"/>
      <c r="AZ197" s="168"/>
      <c r="BA197" s="168"/>
      <c r="CV197" s="456"/>
      <c r="CW197" s="456"/>
      <c r="CX197" s="456"/>
      <c r="CY197" s="456"/>
      <c r="CZ197" s="456"/>
      <c r="DA197" s="456"/>
      <c r="DB197" s="456"/>
      <c r="DC197" s="456"/>
      <c r="DD197" s="456"/>
      <c r="DE197" s="456"/>
      <c r="DF197" s="456"/>
      <c r="DG197" s="456"/>
      <c r="DH197" s="456"/>
      <c r="DI197" s="456"/>
      <c r="DJ197" s="456"/>
      <c r="DK197" s="456"/>
      <c r="DL197" s="456"/>
      <c r="DM197" s="456"/>
      <c r="DN197" s="456"/>
      <c r="DO197" s="456"/>
      <c r="DP197" s="456"/>
      <c r="DQ197" s="456"/>
    </row>
    <row r="198" spans="2:17" ht="18.75">
      <c r="B198" s="511" t="s">
        <v>948</v>
      </c>
      <c r="C198" s="511"/>
      <c r="D198" s="31"/>
      <c r="E198" s="31"/>
      <c r="F198" s="31"/>
      <c r="G198" s="31"/>
      <c r="H198" s="664">
        <v>298.98</v>
      </c>
      <c r="I198" s="664"/>
      <c r="J198" s="664"/>
      <c r="K198" s="51"/>
      <c r="L198" s="51">
        <v>137.7</v>
      </c>
      <c r="M198" s="51"/>
      <c r="N198" s="17"/>
      <c r="O198" s="17">
        <v>688.75</v>
      </c>
      <c r="P198" s="17"/>
      <c r="Q198" s="17">
        <v>229.58</v>
      </c>
    </row>
    <row r="199" spans="2:17" ht="18.75">
      <c r="B199" s="511" t="s">
        <v>271</v>
      </c>
      <c r="C199" s="511"/>
      <c r="D199" s="31"/>
      <c r="E199" s="31"/>
      <c r="F199" s="31"/>
      <c r="G199" s="31"/>
      <c r="H199" s="664">
        <v>814.08</v>
      </c>
      <c r="I199" s="664"/>
      <c r="J199" s="664"/>
      <c r="K199" s="51"/>
      <c r="L199" s="51">
        <v>1629.24</v>
      </c>
      <c r="M199" s="51">
        <v>2443.86</v>
      </c>
      <c r="N199" s="17">
        <v>2443.78</v>
      </c>
      <c r="O199" s="17">
        <v>2986.86</v>
      </c>
      <c r="P199" s="17">
        <v>3258.4</v>
      </c>
      <c r="Q199" s="17">
        <v>3258.4</v>
      </c>
    </row>
    <row r="200" spans="2:121" s="455" customFormat="1" ht="18.75">
      <c r="B200" s="511" t="s">
        <v>1233</v>
      </c>
      <c r="C200" s="511"/>
      <c r="D200" s="31"/>
      <c r="E200" s="31"/>
      <c r="F200" s="31"/>
      <c r="G200" s="31"/>
      <c r="H200" s="664">
        <v>4915.56</v>
      </c>
      <c r="I200" s="664"/>
      <c r="J200" s="664"/>
      <c r="K200" s="458"/>
      <c r="L200" s="458"/>
      <c r="M200" s="458"/>
      <c r="N200" s="457"/>
      <c r="O200" s="457"/>
      <c r="P200" s="457"/>
      <c r="Q200" s="457"/>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456"/>
      <c r="AX200" s="456"/>
      <c r="AY200" s="456"/>
      <c r="AZ200" s="456"/>
      <c r="BA200" s="456"/>
      <c r="CV200" s="456"/>
      <c r="CW200" s="456"/>
      <c r="CX200" s="456"/>
      <c r="CY200" s="456"/>
      <c r="CZ200" s="456"/>
      <c r="DA200" s="456"/>
      <c r="DB200" s="456"/>
      <c r="DC200" s="456"/>
      <c r="DD200" s="456"/>
      <c r="DE200" s="456"/>
      <c r="DF200" s="456"/>
      <c r="DG200" s="456"/>
      <c r="DH200" s="456"/>
      <c r="DI200" s="456"/>
      <c r="DJ200" s="456"/>
      <c r="DK200" s="456"/>
      <c r="DL200" s="456"/>
      <c r="DM200" s="456"/>
      <c r="DN200" s="456"/>
      <c r="DO200" s="456"/>
      <c r="DP200" s="456"/>
      <c r="DQ200" s="456"/>
    </row>
    <row r="201" spans="2:17" ht="18" hidden="1">
      <c r="B201" s="511" t="s">
        <v>469</v>
      </c>
      <c r="C201" s="511"/>
      <c r="D201" s="31"/>
      <c r="E201" s="31"/>
      <c r="F201" s="31"/>
      <c r="G201" s="31"/>
      <c r="H201" s="664"/>
      <c r="I201" s="664"/>
      <c r="J201" s="664"/>
      <c r="K201" s="51"/>
      <c r="L201" s="51"/>
      <c r="M201" s="51"/>
      <c r="N201" s="17"/>
      <c r="O201" s="17"/>
      <c r="P201" s="17"/>
      <c r="Q201" s="17"/>
    </row>
    <row r="202" spans="2:17" ht="18" hidden="1">
      <c r="B202" s="511" t="s">
        <v>470</v>
      </c>
      <c r="C202" s="511"/>
      <c r="D202" s="31"/>
      <c r="E202" s="31"/>
      <c r="F202" s="31"/>
      <c r="G202" s="31"/>
      <c r="H202" s="664"/>
      <c r="I202" s="664"/>
      <c r="J202" s="664"/>
      <c r="K202" s="51"/>
      <c r="L202" s="51"/>
      <c r="M202" s="51"/>
      <c r="N202" s="17"/>
      <c r="O202" s="17"/>
      <c r="P202" s="17"/>
      <c r="Q202" s="17"/>
    </row>
    <row r="203" spans="2:17" ht="18" hidden="1">
      <c r="B203" s="511" t="s">
        <v>438</v>
      </c>
      <c r="C203" s="511"/>
      <c r="D203" s="31"/>
      <c r="E203" s="31"/>
      <c r="F203" s="31"/>
      <c r="G203" s="31"/>
      <c r="H203" s="664"/>
      <c r="I203" s="664"/>
      <c r="J203" s="664"/>
      <c r="K203" s="51"/>
      <c r="L203" s="51">
        <v>658.24</v>
      </c>
      <c r="M203" s="51">
        <v>375</v>
      </c>
      <c r="N203" s="17">
        <v>375</v>
      </c>
      <c r="O203" s="17">
        <v>8863.35</v>
      </c>
      <c r="P203" s="17">
        <v>375</v>
      </c>
      <c r="Q203" s="17">
        <v>3182.85</v>
      </c>
    </row>
    <row r="204" spans="2:17" ht="18.75">
      <c r="B204" s="511" t="s">
        <v>637</v>
      </c>
      <c r="C204" s="511"/>
      <c r="D204" s="31"/>
      <c r="E204" s="31"/>
      <c r="F204" s="31"/>
      <c r="G204" s="31"/>
      <c r="H204" s="664">
        <v>9894.6</v>
      </c>
      <c r="I204" s="664"/>
      <c r="J204" s="664">
        <v>9894.6</v>
      </c>
      <c r="K204" s="51">
        <v>9894.6</v>
      </c>
      <c r="L204" s="51">
        <v>8245.57</v>
      </c>
      <c r="M204" s="51">
        <v>25620</v>
      </c>
      <c r="N204" s="17"/>
      <c r="O204" s="17"/>
      <c r="P204" s="17"/>
      <c r="Q204" s="17"/>
    </row>
    <row r="205" spans="2:17" ht="18.75">
      <c r="B205" s="511" t="s">
        <v>638</v>
      </c>
      <c r="C205" s="511"/>
      <c r="D205" s="31"/>
      <c r="E205" s="31"/>
      <c r="F205" s="31"/>
      <c r="G205" s="31"/>
      <c r="H205" s="664">
        <v>12339.72</v>
      </c>
      <c r="I205" s="664"/>
      <c r="J205" s="664">
        <v>12339.72</v>
      </c>
      <c r="K205" s="51">
        <v>12339.72</v>
      </c>
      <c r="L205" s="51">
        <v>12339.65</v>
      </c>
      <c r="M205" s="54">
        <v>15434.56</v>
      </c>
      <c r="N205" s="17"/>
      <c r="O205" s="17"/>
      <c r="P205" s="17"/>
      <c r="Q205" s="17"/>
    </row>
    <row r="206" spans="2:121" s="4" customFormat="1" ht="18.75">
      <c r="B206" s="511" t="s">
        <v>639</v>
      </c>
      <c r="C206" s="511"/>
      <c r="D206" s="31"/>
      <c r="E206" s="31"/>
      <c r="F206" s="31"/>
      <c r="G206" s="31"/>
      <c r="H206" s="664"/>
      <c r="I206" s="664"/>
      <c r="J206" s="664">
        <v>3034.27</v>
      </c>
      <c r="K206" s="51"/>
      <c r="L206" s="51"/>
      <c r="M206" s="54"/>
      <c r="N206" s="17"/>
      <c r="O206" s="17"/>
      <c r="P206" s="17"/>
      <c r="Q206" s="17"/>
      <c r="S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8"/>
      <c r="AX206" s="168"/>
      <c r="AY206" s="168"/>
      <c r="AZ206" s="168"/>
      <c r="BA206" s="168"/>
      <c r="CV206" s="456"/>
      <c r="CW206" s="456"/>
      <c r="CX206" s="456"/>
      <c r="CY206" s="456"/>
      <c r="CZ206" s="456"/>
      <c r="DA206" s="456"/>
      <c r="DB206" s="456"/>
      <c r="DC206" s="456"/>
      <c r="DD206" s="456"/>
      <c r="DE206" s="456"/>
      <c r="DF206" s="456"/>
      <c r="DG206" s="456"/>
      <c r="DH206" s="456"/>
      <c r="DI206" s="456"/>
      <c r="DJ206" s="456"/>
      <c r="DK206" s="456"/>
      <c r="DL206" s="456"/>
      <c r="DM206" s="456"/>
      <c r="DN206" s="456"/>
      <c r="DO206" s="456"/>
      <c r="DP206" s="456"/>
      <c r="DQ206" s="456"/>
    </row>
    <row r="207" spans="2:17" ht="18.75">
      <c r="B207" s="511" t="s">
        <v>5</v>
      </c>
      <c r="C207" s="511"/>
      <c r="D207" s="31"/>
      <c r="E207" s="31"/>
      <c r="F207" s="31"/>
      <c r="G207" s="31"/>
      <c r="H207" s="664">
        <v>509647.8</v>
      </c>
      <c r="I207" s="664"/>
      <c r="J207" s="664">
        <v>213247.92</v>
      </c>
      <c r="K207" s="51">
        <v>213247.92</v>
      </c>
      <c r="L207" s="51">
        <v>639743.88</v>
      </c>
      <c r="M207" s="51">
        <v>533120</v>
      </c>
      <c r="N207" s="17">
        <v>533120</v>
      </c>
      <c r="O207" s="17">
        <v>185504.37</v>
      </c>
      <c r="P207" s="17">
        <v>266560</v>
      </c>
      <c r="Q207" s="17"/>
    </row>
    <row r="208" spans="1:121" s="4" customFormat="1" ht="18.75">
      <c r="A208" s="89"/>
      <c r="B208" s="511" t="s">
        <v>670</v>
      </c>
      <c r="C208" s="511"/>
      <c r="D208" s="31"/>
      <c r="E208" s="31"/>
      <c r="F208" s="31"/>
      <c r="G208" s="31"/>
      <c r="H208" s="664">
        <v>98541.96</v>
      </c>
      <c r="I208" s="664"/>
      <c r="J208" s="664">
        <v>98541.96</v>
      </c>
      <c r="K208" s="51">
        <v>8211.83</v>
      </c>
      <c r="L208" s="51"/>
      <c r="M208" s="51"/>
      <c r="N208" s="17"/>
      <c r="O208" s="17"/>
      <c r="P208" s="17"/>
      <c r="Q208" s="17"/>
      <c r="S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8"/>
      <c r="AX208" s="168"/>
      <c r="AY208" s="168"/>
      <c r="AZ208" s="168"/>
      <c r="BA208" s="168"/>
      <c r="CV208" s="456"/>
      <c r="CW208" s="456"/>
      <c r="CX208" s="456"/>
      <c r="CY208" s="456"/>
      <c r="CZ208" s="456"/>
      <c r="DA208" s="456"/>
      <c r="DB208" s="456"/>
      <c r="DC208" s="456"/>
      <c r="DD208" s="456"/>
      <c r="DE208" s="456"/>
      <c r="DF208" s="456"/>
      <c r="DG208" s="456"/>
      <c r="DH208" s="456"/>
      <c r="DI208" s="456"/>
      <c r="DJ208" s="456"/>
      <c r="DK208" s="456"/>
      <c r="DL208" s="456"/>
      <c r="DM208" s="456"/>
      <c r="DN208" s="456"/>
      <c r="DO208" s="456"/>
      <c r="DP208" s="456"/>
      <c r="DQ208" s="456"/>
    </row>
    <row r="209" spans="2:18" ht="18.75">
      <c r="B209" s="511" t="s">
        <v>439</v>
      </c>
      <c r="C209" s="511"/>
      <c r="D209" s="31"/>
      <c r="E209" s="31"/>
      <c r="F209" s="31"/>
      <c r="G209" s="31"/>
      <c r="H209" s="664">
        <v>1167590.12</v>
      </c>
      <c r="I209" s="664"/>
      <c r="J209" s="664">
        <v>1043795.16</v>
      </c>
      <c r="K209" s="51">
        <v>1018023.85</v>
      </c>
      <c r="L209" s="51">
        <v>864946.28</v>
      </c>
      <c r="M209" s="51">
        <v>749270.83</v>
      </c>
      <c r="N209" s="17">
        <v>749270.83</v>
      </c>
      <c r="O209" s="17">
        <v>611993.95</v>
      </c>
      <c r="P209" s="17"/>
      <c r="Q209" s="17"/>
      <c r="R209" s="17">
        <f>SUM(L173:L205)</f>
        <v>3584168.3200000003</v>
      </c>
    </row>
    <row r="210" spans="2:17" ht="18.75">
      <c r="B210" s="511" t="s">
        <v>6</v>
      </c>
      <c r="C210" s="511"/>
      <c r="D210" s="31"/>
      <c r="E210" s="31"/>
      <c r="F210" s="31"/>
      <c r="G210" s="31"/>
      <c r="H210" s="664">
        <v>16065.84</v>
      </c>
      <c r="I210" s="664"/>
      <c r="J210" s="664"/>
      <c r="K210" s="51"/>
      <c r="L210" s="51"/>
      <c r="M210" s="51">
        <v>0</v>
      </c>
      <c r="N210" s="17">
        <v>0</v>
      </c>
      <c r="O210" s="17">
        <v>71200</v>
      </c>
      <c r="P210" s="17">
        <v>47466.68</v>
      </c>
      <c r="Q210" s="17">
        <v>71200</v>
      </c>
    </row>
    <row r="211" spans="1:121" s="4" customFormat="1" ht="18.75">
      <c r="A211" s="89"/>
      <c r="B211" s="511" t="s">
        <v>671</v>
      </c>
      <c r="C211" s="511"/>
      <c r="D211" s="31"/>
      <c r="E211" s="31"/>
      <c r="F211" s="31"/>
      <c r="G211" s="31"/>
      <c r="H211" s="664">
        <v>99386.64</v>
      </c>
      <c r="I211" s="664"/>
      <c r="J211" s="664">
        <v>99386.64</v>
      </c>
      <c r="K211" s="51">
        <v>24846.66</v>
      </c>
      <c r="L211" s="51"/>
      <c r="M211" s="51"/>
      <c r="N211" s="17"/>
      <c r="O211" s="17"/>
      <c r="P211" s="17"/>
      <c r="Q211" s="17"/>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8"/>
      <c r="AX211" s="168"/>
      <c r="AY211" s="168"/>
      <c r="AZ211" s="168"/>
      <c r="BA211" s="168"/>
      <c r="CV211" s="456"/>
      <c r="CW211" s="456"/>
      <c r="CX211" s="456"/>
      <c r="CY211" s="456"/>
      <c r="CZ211" s="456"/>
      <c r="DA211" s="456"/>
      <c r="DB211" s="456"/>
      <c r="DC211" s="456"/>
      <c r="DD211" s="456"/>
      <c r="DE211" s="456"/>
      <c r="DF211" s="456"/>
      <c r="DG211" s="456"/>
      <c r="DH211" s="456"/>
      <c r="DI211" s="456"/>
      <c r="DJ211" s="456"/>
      <c r="DK211" s="456"/>
      <c r="DL211" s="456"/>
      <c r="DM211" s="456"/>
      <c r="DN211" s="456"/>
      <c r="DO211" s="456"/>
      <c r="DP211" s="456"/>
      <c r="DQ211" s="456"/>
    </row>
    <row r="212" spans="2:18" ht="18.75">
      <c r="B212" s="511" t="s">
        <v>594</v>
      </c>
      <c r="C212" s="511"/>
      <c r="D212" s="31"/>
      <c r="E212" s="31"/>
      <c r="F212" s="31"/>
      <c r="G212" s="31"/>
      <c r="H212" s="664">
        <v>1783791.15</v>
      </c>
      <c r="I212" s="664"/>
      <c r="J212" s="664">
        <v>1710457.28</v>
      </c>
      <c r="K212" s="51">
        <v>1859171.65</v>
      </c>
      <c r="L212" s="51">
        <v>1825554.85</v>
      </c>
      <c r="M212" s="51">
        <v>1297795.73</v>
      </c>
      <c r="N212" s="17">
        <v>1297795.73</v>
      </c>
      <c r="O212" s="17">
        <v>688932.45</v>
      </c>
      <c r="P212" s="17">
        <v>1256925.18</v>
      </c>
      <c r="Q212" s="17">
        <v>746087.68</v>
      </c>
      <c r="R212" s="17">
        <f>SUM(L212:L263)</f>
        <v>3349244.249999999</v>
      </c>
    </row>
    <row r="213" spans="2:18" ht="18.75">
      <c r="B213" s="511" t="s">
        <v>440</v>
      </c>
      <c r="C213" s="511"/>
      <c r="D213" s="31"/>
      <c r="E213" s="31"/>
      <c r="F213" s="31"/>
      <c r="G213" s="31"/>
      <c r="H213" s="664">
        <v>238878.08</v>
      </c>
      <c r="I213" s="664"/>
      <c r="J213" s="664">
        <v>175092.11</v>
      </c>
      <c r="K213" s="51">
        <v>184796.92</v>
      </c>
      <c r="L213" s="51">
        <v>216291.46</v>
      </c>
      <c r="M213" s="51">
        <v>139506.88</v>
      </c>
      <c r="N213" s="17">
        <v>139506.88</v>
      </c>
      <c r="O213" s="17">
        <v>111581.49</v>
      </c>
      <c r="P213" s="17">
        <v>136135.39</v>
      </c>
      <c r="Q213" s="17">
        <v>120578.23</v>
      </c>
      <c r="R213" s="203">
        <f>+R209+R212</f>
        <v>6933412.569999999</v>
      </c>
    </row>
    <row r="214" spans="2:17" ht="18.75">
      <c r="B214" s="511" t="s">
        <v>441</v>
      </c>
      <c r="C214" s="511"/>
      <c r="D214" s="31"/>
      <c r="E214" s="31"/>
      <c r="F214" s="31"/>
      <c r="G214" s="31"/>
      <c r="H214" s="664">
        <v>66441.82</v>
      </c>
      <c r="I214" s="664"/>
      <c r="J214" s="664">
        <v>28555.44</v>
      </c>
      <c r="K214" s="51">
        <v>48995.65</v>
      </c>
      <c r="L214" s="51">
        <v>58041.51</v>
      </c>
      <c r="M214" s="51">
        <v>40566.76</v>
      </c>
      <c r="N214" s="17">
        <v>40566.76</v>
      </c>
      <c r="O214" s="17">
        <v>2441.86</v>
      </c>
      <c r="P214" s="17">
        <v>7325.59</v>
      </c>
      <c r="Q214" s="17">
        <v>7325.59</v>
      </c>
    </row>
    <row r="215" spans="2:17" ht="18.75">
      <c r="B215" s="511" t="s">
        <v>442</v>
      </c>
      <c r="C215" s="511"/>
      <c r="D215" s="31"/>
      <c r="E215" s="31"/>
      <c r="F215" s="31"/>
      <c r="G215" s="31"/>
      <c r="H215" s="664">
        <v>212077.85</v>
      </c>
      <c r="I215" s="664"/>
      <c r="J215" s="664">
        <v>109167.88</v>
      </c>
      <c r="K215" s="51">
        <v>45856.38</v>
      </c>
      <c r="L215" s="51">
        <v>75627.34</v>
      </c>
      <c r="M215" s="51">
        <v>25826.65</v>
      </c>
      <c r="N215" s="17">
        <v>25826.65</v>
      </c>
      <c r="O215" s="17">
        <v>71466.47</v>
      </c>
      <c r="P215" s="17">
        <v>50564.39</v>
      </c>
      <c r="Q215" s="17">
        <v>60562.53</v>
      </c>
    </row>
    <row r="216" spans="2:17" ht="18.75">
      <c r="B216" s="511" t="s">
        <v>443</v>
      </c>
      <c r="C216" s="511"/>
      <c r="D216" s="31"/>
      <c r="E216" s="31"/>
      <c r="F216" s="31"/>
      <c r="G216" s="31"/>
      <c r="H216" s="664">
        <v>17106.78</v>
      </c>
      <c r="I216" s="664"/>
      <c r="J216" s="664">
        <v>34701.77</v>
      </c>
      <c r="K216" s="51">
        <v>77672.88</v>
      </c>
      <c r="L216" s="51">
        <f>211348.37+99.69</f>
        <v>211448.06</v>
      </c>
      <c r="M216" s="51">
        <v>331394.4</v>
      </c>
      <c r="N216" s="17">
        <v>331394.4</v>
      </c>
      <c r="O216" s="17">
        <v>720951.88</v>
      </c>
      <c r="P216" s="17">
        <v>681043.83</v>
      </c>
      <c r="Q216" s="17">
        <v>899286.26</v>
      </c>
    </row>
    <row r="217" spans="2:17" ht="18.75">
      <c r="B217" s="511" t="s">
        <v>595</v>
      </c>
      <c r="C217" s="511"/>
      <c r="D217" s="31"/>
      <c r="E217" s="31"/>
      <c r="F217" s="31"/>
      <c r="G217" s="31"/>
      <c r="H217" s="664">
        <v>123531.72</v>
      </c>
      <c r="I217" s="664"/>
      <c r="J217" s="664">
        <v>93025.44</v>
      </c>
      <c r="K217" s="51">
        <v>132913.08</v>
      </c>
      <c r="L217" s="51">
        <v>81415.61</v>
      </c>
      <c r="M217" s="51">
        <v>69776.63</v>
      </c>
      <c r="N217" s="17">
        <v>69776.63</v>
      </c>
      <c r="O217" s="17">
        <v>4442.22</v>
      </c>
      <c r="P217" s="17">
        <v>69483.36</v>
      </c>
      <c r="Q217" s="17">
        <v>33982.55</v>
      </c>
    </row>
    <row r="218" spans="2:17" ht="18" hidden="1">
      <c r="B218" s="511" t="s">
        <v>444</v>
      </c>
      <c r="C218" s="511"/>
      <c r="D218" s="31"/>
      <c r="E218" s="31"/>
      <c r="F218" s="31"/>
      <c r="G218" s="31"/>
      <c r="H218" s="664"/>
      <c r="I218" s="664"/>
      <c r="J218" s="664"/>
      <c r="K218" s="51"/>
      <c r="L218" s="51">
        <v>8895.87</v>
      </c>
      <c r="M218" s="51">
        <v>13454.14</v>
      </c>
      <c r="N218" s="17">
        <v>13454.14</v>
      </c>
      <c r="O218" s="17">
        <v>11857.37</v>
      </c>
      <c r="P218" s="17">
        <v>8049.99</v>
      </c>
      <c r="Q218" s="17">
        <v>398.75</v>
      </c>
    </row>
    <row r="219" spans="2:17" ht="18" hidden="1">
      <c r="B219" s="511" t="s">
        <v>571</v>
      </c>
      <c r="C219" s="511"/>
      <c r="D219" s="31"/>
      <c r="E219" s="31"/>
      <c r="F219" s="31"/>
      <c r="G219" s="31"/>
      <c r="H219" s="664"/>
      <c r="I219" s="664"/>
      <c r="J219" s="664"/>
      <c r="K219" s="51">
        <v>38164.02</v>
      </c>
      <c r="L219" s="51">
        <v>28522.38</v>
      </c>
      <c r="M219" s="51">
        <v>14254.63</v>
      </c>
      <c r="N219" s="17">
        <v>14254.63</v>
      </c>
      <c r="O219" s="17"/>
      <c r="P219" s="17"/>
      <c r="Q219" s="17"/>
    </row>
    <row r="220" spans="2:17" ht="18.75">
      <c r="B220" s="511" t="s">
        <v>445</v>
      </c>
      <c r="C220" s="511"/>
      <c r="D220" s="31"/>
      <c r="E220" s="31"/>
      <c r="F220" s="31"/>
      <c r="G220" s="31"/>
      <c r="H220" s="664">
        <v>13134.12</v>
      </c>
      <c r="I220" s="664"/>
      <c r="J220" s="664"/>
      <c r="K220" s="51"/>
      <c r="L220" s="51">
        <v>4705.48</v>
      </c>
      <c r="M220" s="51">
        <v>1843.75</v>
      </c>
      <c r="N220" s="17">
        <v>1843.75</v>
      </c>
      <c r="O220" s="17">
        <v>3687.5</v>
      </c>
      <c r="P220" s="17">
        <v>3687.5</v>
      </c>
      <c r="Q220" s="17">
        <v>3687.5</v>
      </c>
    </row>
    <row r="221" spans="2:17" ht="18.75">
      <c r="B221" s="511" t="s">
        <v>446</v>
      </c>
      <c r="C221" s="511"/>
      <c r="D221" s="31"/>
      <c r="E221" s="31"/>
      <c r="F221" s="31"/>
      <c r="G221" s="31"/>
      <c r="H221" s="664">
        <v>4408.19</v>
      </c>
      <c r="I221" s="664"/>
      <c r="J221" s="664">
        <v>5568.24</v>
      </c>
      <c r="K221" s="51">
        <v>5568.24</v>
      </c>
      <c r="L221" s="51">
        <v>2679.5</v>
      </c>
      <c r="M221" s="51">
        <v>2679.5</v>
      </c>
      <c r="N221" s="17">
        <v>2679.5</v>
      </c>
      <c r="O221" s="17">
        <v>56247.14</v>
      </c>
      <c r="P221" s="17">
        <v>32484.58</v>
      </c>
      <c r="Q221" s="17">
        <v>54322.16</v>
      </c>
    </row>
    <row r="222" spans="2:17" ht="18.75">
      <c r="B222" s="511" t="s">
        <v>447</v>
      </c>
      <c r="C222" s="511"/>
      <c r="D222" s="31"/>
      <c r="E222" s="31"/>
      <c r="F222" s="31"/>
      <c r="G222" s="31"/>
      <c r="H222" s="664">
        <v>95227.74</v>
      </c>
      <c r="I222" s="664"/>
      <c r="J222" s="664">
        <v>51804.72</v>
      </c>
      <c r="K222" s="51">
        <v>45941.01</v>
      </c>
      <c r="L222" s="51">
        <v>78910.01</v>
      </c>
      <c r="M222" s="51">
        <v>63364.01</v>
      </c>
      <c r="N222" s="17">
        <v>63364.01</v>
      </c>
      <c r="O222" s="17">
        <v>16554.97</v>
      </c>
      <c r="P222" s="17">
        <v>47226.56</v>
      </c>
      <c r="Q222" s="17">
        <v>31368.32</v>
      </c>
    </row>
    <row r="223" spans="2:17" ht="18" hidden="1">
      <c r="B223" s="511" t="s">
        <v>448</v>
      </c>
      <c r="C223" s="511"/>
      <c r="D223" s="31"/>
      <c r="E223" s="31"/>
      <c r="F223" s="31"/>
      <c r="G223" s="31"/>
      <c r="H223" s="664"/>
      <c r="I223" s="664"/>
      <c r="J223" s="664"/>
      <c r="K223" s="51"/>
      <c r="L223" s="51">
        <v>19874.51</v>
      </c>
      <c r="M223" s="51">
        <v>27014.23</v>
      </c>
      <c r="N223" s="17">
        <v>27014.23</v>
      </c>
      <c r="O223" s="17">
        <v>13105.38</v>
      </c>
      <c r="P223" s="17">
        <v>25243.4</v>
      </c>
      <c r="Q223" s="17">
        <v>23549.85</v>
      </c>
    </row>
    <row r="224" spans="2:17" ht="18.75">
      <c r="B224" s="511" t="s">
        <v>449</v>
      </c>
      <c r="C224" s="511"/>
      <c r="D224" s="31"/>
      <c r="E224" s="31"/>
      <c r="F224" s="31"/>
      <c r="G224" s="31"/>
      <c r="H224" s="664"/>
      <c r="I224" s="664"/>
      <c r="J224" s="664">
        <v>9544.05</v>
      </c>
      <c r="K224" s="51">
        <v>40201.92</v>
      </c>
      <c r="L224" s="51">
        <v>47941.52</v>
      </c>
      <c r="M224" s="51">
        <v>29902.25</v>
      </c>
      <c r="N224" s="17">
        <v>29902.25</v>
      </c>
      <c r="O224" s="17"/>
      <c r="P224" s="17">
        <v>1678.66</v>
      </c>
      <c r="Q224" s="17"/>
    </row>
    <row r="225" spans="2:17" ht="18.75">
      <c r="B225" s="511" t="s">
        <v>450</v>
      </c>
      <c r="C225" s="511"/>
      <c r="D225" s="31"/>
      <c r="E225" s="31"/>
      <c r="F225" s="31"/>
      <c r="G225" s="31"/>
      <c r="H225" s="664">
        <v>6603.3</v>
      </c>
      <c r="I225" s="664"/>
      <c r="J225" s="664"/>
      <c r="K225" s="51"/>
      <c r="L225" s="51">
        <v>4168.93</v>
      </c>
      <c r="M225" s="51">
        <v>1843.75</v>
      </c>
      <c r="N225" s="17">
        <v>1843.75</v>
      </c>
      <c r="O225" s="17">
        <v>7707.77</v>
      </c>
      <c r="P225" s="17">
        <v>3687.5</v>
      </c>
      <c r="Q225" s="17">
        <v>3687.5</v>
      </c>
    </row>
    <row r="226" spans="2:17" ht="18" hidden="1">
      <c r="B226" s="511" t="s">
        <v>451</v>
      </c>
      <c r="C226" s="511"/>
      <c r="D226" s="31"/>
      <c r="E226" s="31"/>
      <c r="F226" s="31"/>
      <c r="G226" s="31"/>
      <c r="H226" s="664"/>
      <c r="I226" s="664"/>
      <c r="J226" s="664"/>
      <c r="K226" s="51"/>
      <c r="L226" s="51">
        <v>2679.5</v>
      </c>
      <c r="M226" s="51">
        <v>2679.5</v>
      </c>
      <c r="N226" s="17">
        <v>2679.5</v>
      </c>
      <c r="O226" s="17">
        <v>91914.74</v>
      </c>
      <c r="P226" s="17">
        <v>55849.82</v>
      </c>
      <c r="Q226" s="17">
        <v>91914.74</v>
      </c>
    </row>
    <row r="227" spans="2:17" ht="18.75">
      <c r="B227" s="511" t="s">
        <v>452</v>
      </c>
      <c r="C227" s="511"/>
      <c r="D227" s="31"/>
      <c r="E227" s="31"/>
      <c r="F227" s="31"/>
      <c r="G227" s="31"/>
      <c r="H227" s="664">
        <v>43263.78</v>
      </c>
      <c r="I227" s="664"/>
      <c r="J227" s="664"/>
      <c r="K227" s="51"/>
      <c r="L227" s="51">
        <v>2378.42</v>
      </c>
      <c r="M227" s="51">
        <v>18821</v>
      </c>
      <c r="N227" s="17">
        <v>18821</v>
      </c>
      <c r="O227" s="17">
        <v>27775.98</v>
      </c>
      <c r="P227" s="17">
        <v>18821</v>
      </c>
      <c r="Q227" s="17">
        <v>21795.46</v>
      </c>
    </row>
    <row r="228" spans="2:17" ht="18.75">
      <c r="B228" s="511" t="s">
        <v>453</v>
      </c>
      <c r="C228" s="511"/>
      <c r="D228" s="31"/>
      <c r="E228" s="31"/>
      <c r="F228" s="31"/>
      <c r="G228" s="31"/>
      <c r="H228" s="664">
        <v>11755.74</v>
      </c>
      <c r="I228" s="664"/>
      <c r="J228" s="664"/>
      <c r="K228" s="51"/>
      <c r="L228" s="51">
        <v>5133.63</v>
      </c>
      <c r="M228" s="51">
        <v>5575</v>
      </c>
      <c r="N228" s="17">
        <v>5575</v>
      </c>
      <c r="O228" s="17">
        <v>10693.75</v>
      </c>
      <c r="P228" s="17">
        <v>5575</v>
      </c>
      <c r="Q228" s="17">
        <v>3935.5</v>
      </c>
    </row>
    <row r="229" spans="2:17" ht="18" hidden="1">
      <c r="B229" s="511" t="s">
        <v>572</v>
      </c>
      <c r="C229" s="511"/>
      <c r="D229" s="31"/>
      <c r="E229" s="31"/>
      <c r="F229" s="31"/>
      <c r="G229" s="31"/>
      <c r="H229" s="664"/>
      <c r="I229" s="664"/>
      <c r="J229" s="664"/>
      <c r="K229" s="51"/>
      <c r="L229" s="51">
        <v>1219.8</v>
      </c>
      <c r="M229" s="51">
        <v>4269.27</v>
      </c>
      <c r="N229" s="17">
        <v>4269.27</v>
      </c>
      <c r="O229" s="17">
        <v>7625.91</v>
      </c>
      <c r="P229" s="17"/>
      <c r="Q229" s="17">
        <v>2315.46</v>
      </c>
    </row>
    <row r="230" spans="2:121" s="455" customFormat="1" ht="18.75">
      <c r="B230" s="511" t="s">
        <v>949</v>
      </c>
      <c r="C230" s="511"/>
      <c r="D230" s="31"/>
      <c r="E230" s="31"/>
      <c r="F230" s="31"/>
      <c r="G230" s="31"/>
      <c r="H230" s="664">
        <v>6312.79</v>
      </c>
      <c r="I230" s="664"/>
      <c r="J230" s="664"/>
      <c r="K230" s="458"/>
      <c r="L230" s="458"/>
      <c r="M230" s="458"/>
      <c r="N230" s="457"/>
      <c r="O230" s="457"/>
      <c r="P230" s="457"/>
      <c r="Q230" s="457"/>
      <c r="S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456"/>
      <c r="AX230" s="456"/>
      <c r="AY230" s="456"/>
      <c r="AZ230" s="456"/>
      <c r="BA230" s="456"/>
      <c r="CV230" s="456"/>
      <c r="CW230" s="456"/>
      <c r="CX230" s="456"/>
      <c r="CY230" s="456"/>
      <c r="CZ230" s="456"/>
      <c r="DA230" s="456"/>
      <c r="DB230" s="456"/>
      <c r="DC230" s="456"/>
      <c r="DD230" s="456"/>
      <c r="DE230" s="456"/>
      <c r="DF230" s="456"/>
      <c r="DG230" s="456"/>
      <c r="DH230" s="456"/>
      <c r="DI230" s="456"/>
      <c r="DJ230" s="456"/>
      <c r="DK230" s="456"/>
      <c r="DL230" s="456"/>
      <c r="DM230" s="456"/>
      <c r="DN230" s="456"/>
      <c r="DO230" s="456"/>
      <c r="DP230" s="456"/>
      <c r="DQ230" s="456"/>
    </row>
    <row r="231" spans="2:17" ht="18" hidden="1">
      <c r="B231" s="511" t="s">
        <v>471</v>
      </c>
      <c r="C231" s="511"/>
      <c r="D231" s="31"/>
      <c r="E231" s="31"/>
      <c r="F231" s="31"/>
      <c r="G231" s="31"/>
      <c r="H231" s="664"/>
      <c r="I231" s="664"/>
      <c r="J231" s="664"/>
      <c r="K231" s="51"/>
      <c r="L231" s="51"/>
      <c r="M231" s="51"/>
      <c r="N231" s="17"/>
      <c r="O231" s="17"/>
      <c r="P231" s="17"/>
      <c r="Q231" s="17"/>
    </row>
    <row r="232" spans="2:17" ht="18.75">
      <c r="B232" s="511" t="s">
        <v>7</v>
      </c>
      <c r="C232" s="511"/>
      <c r="D232" s="31"/>
      <c r="E232" s="31"/>
      <c r="F232" s="31"/>
      <c r="G232" s="31"/>
      <c r="H232" s="664">
        <v>38939.4</v>
      </c>
      <c r="I232" s="664"/>
      <c r="J232" s="664"/>
      <c r="K232" s="51"/>
      <c r="L232" s="51"/>
      <c r="M232" s="51"/>
      <c r="N232" s="17"/>
      <c r="O232" s="17"/>
      <c r="P232" s="17"/>
      <c r="Q232" s="17"/>
    </row>
    <row r="233" spans="2:121" s="455" customFormat="1" ht="18.75">
      <c r="B233" s="511" t="s">
        <v>838</v>
      </c>
      <c r="C233" s="511"/>
      <c r="D233" s="31"/>
      <c r="E233" s="31"/>
      <c r="F233" s="31"/>
      <c r="G233" s="31"/>
      <c r="H233" s="664">
        <v>26195.4</v>
      </c>
      <c r="I233" s="664"/>
      <c r="J233" s="664"/>
      <c r="K233" s="458"/>
      <c r="L233" s="458"/>
      <c r="M233" s="458"/>
      <c r="N233" s="457"/>
      <c r="O233" s="457"/>
      <c r="P233" s="457"/>
      <c r="Q233" s="457"/>
      <c r="S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456"/>
      <c r="AX233" s="456"/>
      <c r="AY233" s="456"/>
      <c r="AZ233" s="456"/>
      <c r="BA233" s="456"/>
      <c r="CV233" s="456"/>
      <c r="CW233" s="456"/>
      <c r="CX233" s="456"/>
      <c r="CY233" s="456"/>
      <c r="CZ233" s="456"/>
      <c r="DA233" s="456"/>
      <c r="DB233" s="456"/>
      <c r="DC233" s="456"/>
      <c r="DD233" s="456"/>
      <c r="DE233" s="456"/>
      <c r="DF233" s="456"/>
      <c r="DG233" s="456"/>
      <c r="DH233" s="456"/>
      <c r="DI233" s="456"/>
      <c r="DJ233" s="456"/>
      <c r="DK233" s="456"/>
      <c r="DL233" s="456"/>
      <c r="DM233" s="456"/>
      <c r="DN233" s="456"/>
      <c r="DO233" s="456"/>
      <c r="DP233" s="456"/>
      <c r="DQ233" s="456"/>
    </row>
    <row r="234" spans="2:121" s="455" customFormat="1" ht="18.75">
      <c r="B234" s="511" t="s">
        <v>950</v>
      </c>
      <c r="C234" s="511"/>
      <c r="D234" s="31"/>
      <c r="E234" s="31"/>
      <c r="F234" s="31"/>
      <c r="G234" s="31"/>
      <c r="H234" s="664">
        <v>7648.56</v>
      </c>
      <c r="I234" s="664"/>
      <c r="J234" s="664"/>
      <c r="K234" s="458"/>
      <c r="L234" s="458"/>
      <c r="M234" s="458"/>
      <c r="N234" s="457"/>
      <c r="O234" s="457"/>
      <c r="P234" s="457"/>
      <c r="Q234" s="457"/>
      <c r="S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456"/>
      <c r="AX234" s="456"/>
      <c r="AY234" s="456"/>
      <c r="AZ234" s="456"/>
      <c r="BA234" s="456"/>
      <c r="CV234" s="456"/>
      <c r="CW234" s="456"/>
      <c r="CX234" s="456"/>
      <c r="CY234" s="456"/>
      <c r="CZ234" s="456"/>
      <c r="DA234" s="456"/>
      <c r="DB234" s="456"/>
      <c r="DC234" s="456"/>
      <c r="DD234" s="456"/>
      <c r="DE234" s="456"/>
      <c r="DF234" s="456"/>
      <c r="DG234" s="456"/>
      <c r="DH234" s="456"/>
      <c r="DI234" s="456"/>
      <c r="DJ234" s="456"/>
      <c r="DK234" s="456"/>
      <c r="DL234" s="456"/>
      <c r="DM234" s="456"/>
      <c r="DN234" s="456"/>
      <c r="DO234" s="456"/>
      <c r="DP234" s="456"/>
      <c r="DQ234" s="456"/>
    </row>
    <row r="235" spans="2:121" s="455" customFormat="1" ht="18.75">
      <c r="B235" s="511" t="s">
        <v>1234</v>
      </c>
      <c r="C235" s="511"/>
      <c r="D235" s="31"/>
      <c r="E235" s="31"/>
      <c r="F235" s="31"/>
      <c r="G235" s="31"/>
      <c r="H235" s="664">
        <v>16398.72</v>
      </c>
      <c r="I235" s="664"/>
      <c r="J235" s="664"/>
      <c r="K235" s="458"/>
      <c r="L235" s="458"/>
      <c r="M235" s="458"/>
      <c r="N235" s="457"/>
      <c r="O235" s="457"/>
      <c r="P235" s="457"/>
      <c r="Q235" s="457"/>
      <c r="S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456"/>
      <c r="AX235" s="456"/>
      <c r="AY235" s="456"/>
      <c r="AZ235" s="456"/>
      <c r="BA235" s="456"/>
      <c r="CV235" s="456"/>
      <c r="CW235" s="456"/>
      <c r="CX235" s="456"/>
      <c r="CY235" s="456"/>
      <c r="CZ235" s="456"/>
      <c r="DA235" s="456"/>
      <c r="DB235" s="456"/>
      <c r="DC235" s="456"/>
      <c r="DD235" s="456"/>
      <c r="DE235" s="456"/>
      <c r="DF235" s="456"/>
      <c r="DG235" s="456"/>
      <c r="DH235" s="456"/>
      <c r="DI235" s="456"/>
      <c r="DJ235" s="456"/>
      <c r="DK235" s="456"/>
      <c r="DL235" s="456"/>
      <c r="DM235" s="456"/>
      <c r="DN235" s="456"/>
      <c r="DO235" s="456"/>
      <c r="DP235" s="456"/>
      <c r="DQ235" s="456"/>
    </row>
    <row r="236" spans="2:17" ht="18" hidden="1">
      <c r="B236" s="511" t="s">
        <v>574</v>
      </c>
      <c r="C236" s="511"/>
      <c r="D236" s="31"/>
      <c r="E236" s="31"/>
      <c r="F236" s="31"/>
      <c r="G236" s="31"/>
      <c r="H236" s="664"/>
      <c r="I236" s="664"/>
      <c r="J236" s="664"/>
      <c r="K236" s="51"/>
      <c r="L236" s="51"/>
      <c r="M236" s="51">
        <v>735.04</v>
      </c>
      <c r="N236" s="17">
        <v>735.04</v>
      </c>
      <c r="O236" s="17"/>
      <c r="P236" s="17"/>
      <c r="Q236" s="17"/>
    </row>
    <row r="237" spans="2:17" ht="18" hidden="1">
      <c r="B237" s="511" t="s">
        <v>639</v>
      </c>
      <c r="C237" s="511"/>
      <c r="D237" s="31"/>
      <c r="E237" s="31"/>
      <c r="F237" s="31"/>
      <c r="G237" s="31"/>
      <c r="H237" s="664"/>
      <c r="I237" s="664"/>
      <c r="J237" s="664"/>
      <c r="K237" s="51">
        <v>24784.32</v>
      </c>
      <c r="L237" s="51">
        <v>20653.6</v>
      </c>
      <c r="M237" s="51"/>
      <c r="N237" s="17"/>
      <c r="O237" s="17"/>
      <c r="P237" s="17"/>
      <c r="Q237" s="17"/>
    </row>
    <row r="238" spans="2:17" ht="18.75">
      <c r="B238" s="511" t="s">
        <v>640</v>
      </c>
      <c r="C238" s="511"/>
      <c r="D238" s="31"/>
      <c r="E238" s="31"/>
      <c r="F238" s="31"/>
      <c r="G238" s="31"/>
      <c r="H238" s="747"/>
      <c r="I238" s="747"/>
      <c r="J238" s="664">
        <v>14603.89</v>
      </c>
      <c r="K238" s="51">
        <v>45262.08</v>
      </c>
      <c r="L238" s="51">
        <v>15087.36</v>
      </c>
      <c r="M238" s="54">
        <v>437.5</v>
      </c>
      <c r="N238" s="17"/>
      <c r="O238" s="17"/>
      <c r="P238" s="17"/>
      <c r="Q238" s="17"/>
    </row>
    <row r="239" spans="2:17" ht="18.75">
      <c r="B239" s="511" t="s">
        <v>8</v>
      </c>
      <c r="C239" s="511"/>
      <c r="D239" s="31"/>
      <c r="E239" s="31"/>
      <c r="F239" s="31"/>
      <c r="G239" s="31"/>
      <c r="H239" s="664">
        <v>130639.36</v>
      </c>
      <c r="I239" s="664"/>
      <c r="J239" s="664">
        <v>137272.6</v>
      </c>
      <c r="K239" s="51">
        <v>102155.66</v>
      </c>
      <c r="L239" s="51">
        <v>129974.8</v>
      </c>
      <c r="M239" s="51">
        <v>115261.33</v>
      </c>
      <c r="N239" s="17">
        <v>115261.33</v>
      </c>
      <c r="O239" s="17">
        <v>89807.97</v>
      </c>
      <c r="P239" s="17">
        <v>141141.83</v>
      </c>
      <c r="Q239" s="17">
        <v>111798.12</v>
      </c>
    </row>
    <row r="240" spans="2:17" ht="18.75">
      <c r="B240" s="511" t="s">
        <v>455</v>
      </c>
      <c r="C240" s="511"/>
      <c r="D240" s="31"/>
      <c r="E240" s="31"/>
      <c r="F240" s="31"/>
      <c r="G240" s="31"/>
      <c r="H240" s="664"/>
      <c r="I240" s="664"/>
      <c r="J240" s="664"/>
      <c r="K240" s="51"/>
      <c r="L240" s="51">
        <v>1859.9</v>
      </c>
      <c r="M240" s="51">
        <v>1859.9</v>
      </c>
      <c r="N240" s="17">
        <v>1859.9</v>
      </c>
      <c r="O240" s="17">
        <v>19932.67</v>
      </c>
      <c r="P240" s="17">
        <v>21744.83</v>
      </c>
      <c r="Q240" s="17">
        <v>21744.83</v>
      </c>
    </row>
    <row r="241" spans="2:17" ht="18.75">
      <c r="B241" s="511" t="s">
        <v>456</v>
      </c>
      <c r="C241" s="511"/>
      <c r="D241" s="31"/>
      <c r="E241" s="31"/>
      <c r="F241" s="31"/>
      <c r="G241" s="31"/>
      <c r="H241" s="664"/>
      <c r="I241" s="664"/>
      <c r="J241" s="664">
        <v>2638.6</v>
      </c>
      <c r="K241" s="51">
        <v>5536.32</v>
      </c>
      <c r="L241" s="51">
        <v>5523.2</v>
      </c>
      <c r="M241" s="51">
        <v>1912.45</v>
      </c>
      <c r="N241" s="17">
        <v>1912.45</v>
      </c>
      <c r="O241" s="17">
        <v>7700.35</v>
      </c>
      <c r="P241" s="17">
        <v>9612.87</v>
      </c>
      <c r="Q241" s="17">
        <v>8703.53</v>
      </c>
    </row>
    <row r="242" spans="2:17" ht="18" hidden="1">
      <c r="B242" s="511" t="s">
        <v>457</v>
      </c>
      <c r="C242" s="511"/>
      <c r="D242" s="31"/>
      <c r="E242" s="31"/>
      <c r="F242" s="31"/>
      <c r="G242" s="31"/>
      <c r="H242" s="664"/>
      <c r="I242" s="664"/>
      <c r="J242" s="664"/>
      <c r="K242" s="51"/>
      <c r="L242" s="51"/>
      <c r="M242" s="51">
        <v>0</v>
      </c>
      <c r="N242" s="17">
        <v>0</v>
      </c>
      <c r="O242" s="17">
        <v>4583.02</v>
      </c>
      <c r="P242" s="17">
        <v>4583.02</v>
      </c>
      <c r="Q242" s="17">
        <v>4999.66</v>
      </c>
    </row>
    <row r="243" spans="2:121" s="455" customFormat="1" ht="18.75">
      <c r="B243" s="511" t="s">
        <v>457</v>
      </c>
      <c r="C243" s="511"/>
      <c r="D243" s="31"/>
      <c r="E243" s="31"/>
      <c r="F243" s="31"/>
      <c r="G243" s="31"/>
      <c r="H243" s="664">
        <v>2938.2</v>
      </c>
      <c r="I243" s="664"/>
      <c r="J243" s="664"/>
      <c r="K243" s="458"/>
      <c r="L243" s="458"/>
      <c r="M243" s="458"/>
      <c r="N243" s="457"/>
      <c r="O243" s="457"/>
      <c r="P243" s="457"/>
      <c r="Q243" s="457"/>
      <c r="S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456"/>
      <c r="AX243" s="456"/>
      <c r="AY243" s="456"/>
      <c r="AZ243" s="456"/>
      <c r="BA243" s="456"/>
      <c r="CV243" s="456"/>
      <c r="CW243" s="456"/>
      <c r="CX243" s="456"/>
      <c r="CY243" s="456"/>
      <c r="CZ243" s="456"/>
      <c r="DA243" s="456"/>
      <c r="DB243" s="456"/>
      <c r="DC243" s="456"/>
      <c r="DD243" s="456"/>
      <c r="DE243" s="456"/>
      <c r="DF243" s="456"/>
      <c r="DG243" s="456"/>
      <c r="DH243" s="456"/>
      <c r="DI243" s="456"/>
      <c r="DJ243" s="456"/>
      <c r="DK243" s="456"/>
      <c r="DL243" s="456"/>
      <c r="DM243" s="456"/>
      <c r="DN243" s="456"/>
      <c r="DO243" s="456"/>
      <c r="DP243" s="456"/>
      <c r="DQ243" s="456"/>
    </row>
    <row r="244" spans="1:121" s="455" customFormat="1" ht="18.75">
      <c r="A244" s="455" t="s">
        <v>96</v>
      </c>
      <c r="B244" s="511" t="s">
        <v>951</v>
      </c>
      <c r="C244" s="511"/>
      <c r="D244" s="31"/>
      <c r="E244" s="31"/>
      <c r="F244" s="31"/>
      <c r="G244" s="31"/>
      <c r="H244" s="664">
        <v>43135.14</v>
      </c>
      <c r="I244" s="664"/>
      <c r="J244" s="664"/>
      <c r="K244" s="458"/>
      <c r="L244" s="458"/>
      <c r="M244" s="458"/>
      <c r="N244" s="457"/>
      <c r="O244" s="457"/>
      <c r="P244" s="457"/>
      <c r="Q244" s="457"/>
      <c r="S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456"/>
      <c r="AX244" s="456"/>
      <c r="AY244" s="456"/>
      <c r="AZ244" s="456"/>
      <c r="BA244" s="456"/>
      <c r="CV244" s="456"/>
      <c r="CW244" s="456"/>
      <c r="CX244" s="456"/>
      <c r="CY244" s="456"/>
      <c r="CZ244" s="456"/>
      <c r="DA244" s="456"/>
      <c r="DB244" s="456"/>
      <c r="DC244" s="456"/>
      <c r="DD244" s="456"/>
      <c r="DE244" s="456"/>
      <c r="DF244" s="456"/>
      <c r="DG244" s="456"/>
      <c r="DH244" s="456"/>
      <c r="DI244" s="456"/>
      <c r="DJ244" s="456"/>
      <c r="DK244" s="456"/>
      <c r="DL244" s="456"/>
      <c r="DM244" s="456"/>
      <c r="DN244" s="456"/>
      <c r="DO244" s="456"/>
      <c r="DP244" s="456"/>
      <c r="DQ244" s="456"/>
    </row>
    <row r="245" spans="1:121" s="455" customFormat="1" ht="18.75">
      <c r="A245" s="455" t="s">
        <v>96</v>
      </c>
      <c r="B245" s="511" t="s">
        <v>952</v>
      </c>
      <c r="C245" s="511"/>
      <c r="D245" s="31"/>
      <c r="E245" s="31"/>
      <c r="F245" s="31"/>
      <c r="G245" s="31"/>
      <c r="H245" s="664">
        <v>7834.56</v>
      </c>
      <c r="I245" s="664"/>
      <c r="J245" s="664"/>
      <c r="K245" s="458"/>
      <c r="L245" s="458"/>
      <c r="M245" s="458"/>
      <c r="N245" s="457"/>
      <c r="O245" s="457"/>
      <c r="P245" s="457"/>
      <c r="Q245" s="457"/>
      <c r="S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456"/>
      <c r="AX245" s="456"/>
      <c r="AY245" s="456"/>
      <c r="AZ245" s="456"/>
      <c r="BA245" s="456"/>
      <c r="CV245" s="456"/>
      <c r="CW245" s="456"/>
      <c r="CX245" s="456"/>
      <c r="CY245" s="456"/>
      <c r="CZ245" s="456"/>
      <c r="DA245" s="456"/>
      <c r="DB245" s="456"/>
      <c r="DC245" s="456"/>
      <c r="DD245" s="456"/>
      <c r="DE245" s="456"/>
      <c r="DF245" s="456"/>
      <c r="DG245" s="456"/>
      <c r="DH245" s="456"/>
      <c r="DI245" s="456"/>
      <c r="DJ245" s="456"/>
      <c r="DK245" s="456"/>
      <c r="DL245" s="456"/>
      <c r="DM245" s="456"/>
      <c r="DN245" s="456"/>
      <c r="DO245" s="456"/>
      <c r="DP245" s="456"/>
      <c r="DQ245" s="456"/>
    </row>
    <row r="246" spans="1:121" s="455" customFormat="1" ht="18.75">
      <c r="A246" s="455" t="s">
        <v>96</v>
      </c>
      <c r="B246" s="511" t="s">
        <v>953</v>
      </c>
      <c r="C246" s="511"/>
      <c r="D246" s="31"/>
      <c r="E246" s="31"/>
      <c r="F246" s="31"/>
      <c r="G246" s="31"/>
      <c r="H246" s="664">
        <v>578.1</v>
      </c>
      <c r="I246" s="664"/>
      <c r="J246" s="664"/>
      <c r="K246" s="458"/>
      <c r="L246" s="458"/>
      <c r="M246" s="458"/>
      <c r="N246" s="457"/>
      <c r="O246" s="457"/>
      <c r="P246" s="457"/>
      <c r="Q246" s="457"/>
      <c r="S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456"/>
      <c r="AX246" s="456"/>
      <c r="AY246" s="456"/>
      <c r="AZ246" s="456"/>
      <c r="BA246" s="456"/>
      <c r="CV246" s="456"/>
      <c r="CW246" s="456"/>
      <c r="CX246" s="456"/>
      <c r="CY246" s="456"/>
      <c r="CZ246" s="456"/>
      <c r="DA246" s="456"/>
      <c r="DB246" s="456"/>
      <c r="DC246" s="456"/>
      <c r="DD246" s="456"/>
      <c r="DE246" s="456"/>
      <c r="DF246" s="456"/>
      <c r="DG246" s="456"/>
      <c r="DH246" s="456"/>
      <c r="DI246" s="456"/>
      <c r="DJ246" s="456"/>
      <c r="DK246" s="456"/>
      <c r="DL246" s="456"/>
      <c r="DM246" s="456"/>
      <c r="DN246" s="456"/>
      <c r="DO246" s="456"/>
      <c r="DP246" s="456"/>
      <c r="DQ246" s="456"/>
    </row>
    <row r="247" spans="2:17" ht="18.75">
      <c r="B247" s="511" t="s">
        <v>9</v>
      </c>
      <c r="C247" s="511"/>
      <c r="D247" s="31"/>
      <c r="E247" s="31"/>
      <c r="F247" s="31"/>
      <c r="G247" s="31"/>
      <c r="H247" s="664">
        <v>11265.12</v>
      </c>
      <c r="I247" s="664"/>
      <c r="J247" s="664">
        <v>198.72</v>
      </c>
      <c r="K247" s="51">
        <v>198.72</v>
      </c>
      <c r="L247" s="51">
        <v>8863.4</v>
      </c>
      <c r="M247" s="51">
        <v>2831.62</v>
      </c>
      <c r="N247" s="17">
        <v>2831.62</v>
      </c>
      <c r="O247" s="17">
        <v>3074.06</v>
      </c>
      <c r="P247" s="17">
        <v>4736.25</v>
      </c>
      <c r="Q247" s="17">
        <v>2987.19</v>
      </c>
    </row>
    <row r="248" spans="2:17" ht="18.75">
      <c r="B248" s="511" t="s">
        <v>10</v>
      </c>
      <c r="C248" s="511"/>
      <c r="D248" s="31"/>
      <c r="E248" s="31"/>
      <c r="F248" s="31"/>
      <c r="G248" s="31"/>
      <c r="H248" s="664">
        <v>16865.07</v>
      </c>
      <c r="I248" s="664"/>
      <c r="J248" s="664">
        <v>13756.44</v>
      </c>
      <c r="K248" s="51">
        <v>13115.29</v>
      </c>
      <c r="L248" s="51">
        <v>18267.32</v>
      </c>
      <c r="M248" s="51">
        <v>12147.42</v>
      </c>
      <c r="N248" s="17">
        <v>12147.42</v>
      </c>
      <c r="O248" s="17">
        <v>14343.11</v>
      </c>
      <c r="P248" s="17">
        <v>13121.38</v>
      </c>
      <c r="Q248" s="17">
        <v>12430.54</v>
      </c>
    </row>
    <row r="249" spans="2:17" ht="18.75">
      <c r="B249" s="511" t="s">
        <v>11</v>
      </c>
      <c r="C249" s="511"/>
      <c r="D249" s="31"/>
      <c r="E249" s="31"/>
      <c r="F249" s="31"/>
      <c r="G249" s="31"/>
      <c r="H249" s="664">
        <v>699.36</v>
      </c>
      <c r="I249" s="664"/>
      <c r="J249" s="664">
        <v>699.36</v>
      </c>
      <c r="K249" s="51">
        <v>699.36</v>
      </c>
      <c r="L249" s="51">
        <v>2643.78</v>
      </c>
      <c r="M249" s="51">
        <v>2998.9</v>
      </c>
      <c r="N249" s="17">
        <v>2998.9</v>
      </c>
      <c r="O249" s="17">
        <v>7684.99</v>
      </c>
      <c r="P249" s="17">
        <v>2998.9</v>
      </c>
      <c r="Q249" s="17">
        <v>4842.28</v>
      </c>
    </row>
    <row r="250" spans="2:17" ht="18.75">
      <c r="B250" s="511" t="s">
        <v>12</v>
      </c>
      <c r="C250" s="511"/>
      <c r="D250" s="31"/>
      <c r="E250" s="31"/>
      <c r="F250" s="31"/>
      <c r="G250" s="31"/>
      <c r="H250" s="664">
        <v>1049.39</v>
      </c>
      <c r="I250" s="664"/>
      <c r="J250" s="664"/>
      <c r="K250" s="51"/>
      <c r="L250" s="51"/>
      <c r="M250" s="51"/>
      <c r="N250" s="17"/>
      <c r="O250" s="17"/>
      <c r="P250" s="17"/>
      <c r="Q250" s="17"/>
    </row>
    <row r="251" spans="2:17" ht="18" hidden="1">
      <c r="B251" s="511" t="s">
        <v>458</v>
      </c>
      <c r="C251" s="511"/>
      <c r="D251" s="31"/>
      <c r="E251" s="31"/>
      <c r="F251" s="31"/>
      <c r="G251" s="31"/>
      <c r="H251" s="664"/>
      <c r="I251" s="664"/>
      <c r="J251" s="664"/>
      <c r="K251" s="51"/>
      <c r="L251" s="51">
        <v>249.7</v>
      </c>
      <c r="M251" s="51"/>
      <c r="N251" s="17"/>
      <c r="O251" s="17">
        <v>1248.75</v>
      </c>
      <c r="P251" s="17"/>
      <c r="Q251" s="17">
        <v>312.19</v>
      </c>
    </row>
    <row r="252" spans="2:17" ht="18.75">
      <c r="B252" s="511" t="s">
        <v>13</v>
      </c>
      <c r="C252" s="511"/>
      <c r="D252" s="31"/>
      <c r="E252" s="31"/>
      <c r="F252" s="31"/>
      <c r="G252" s="31"/>
      <c r="H252" s="664">
        <v>5615.28</v>
      </c>
      <c r="I252" s="664"/>
      <c r="J252" s="664"/>
      <c r="K252" s="51"/>
      <c r="L252" s="51">
        <v>13735.44</v>
      </c>
      <c r="M252" s="51">
        <v>15534.18</v>
      </c>
      <c r="N252" s="17">
        <v>15534.18</v>
      </c>
      <c r="O252" s="17">
        <v>13025.36</v>
      </c>
      <c r="P252" s="17">
        <v>14387.29</v>
      </c>
      <c r="Q252" s="17">
        <v>16104.18</v>
      </c>
    </row>
    <row r="253" spans="2:17" ht="18" hidden="1">
      <c r="B253" s="511" t="s">
        <v>14</v>
      </c>
      <c r="C253" s="511"/>
      <c r="D253" s="31"/>
      <c r="E253" s="31"/>
      <c r="F253" s="31"/>
      <c r="G253" s="31"/>
      <c r="H253" s="664"/>
      <c r="I253" s="664"/>
      <c r="J253" s="664"/>
      <c r="K253" s="51"/>
      <c r="L253" s="51">
        <v>324.7</v>
      </c>
      <c r="M253" s="51"/>
      <c r="N253" s="17"/>
      <c r="O253" s="17"/>
      <c r="P253" s="17"/>
      <c r="Q253" s="17"/>
    </row>
    <row r="254" spans="2:17" ht="18.75">
      <c r="B254" s="511" t="s">
        <v>15</v>
      </c>
      <c r="C254" s="511"/>
      <c r="D254" s="31"/>
      <c r="E254" s="31"/>
      <c r="F254" s="31"/>
      <c r="G254" s="31"/>
      <c r="H254" s="664">
        <v>2577.72</v>
      </c>
      <c r="I254" s="664"/>
      <c r="J254" s="664">
        <v>2950.72</v>
      </c>
      <c r="K254" s="51">
        <v>2855.56</v>
      </c>
      <c r="L254" s="51">
        <v>3295.22</v>
      </c>
      <c r="M254" s="51">
        <v>2429.47</v>
      </c>
      <c r="N254" s="17">
        <v>2429.47</v>
      </c>
      <c r="O254" s="17">
        <v>786.87</v>
      </c>
      <c r="P254" s="17">
        <v>2429.47</v>
      </c>
      <c r="Q254" s="17">
        <v>1619.65</v>
      </c>
    </row>
    <row r="255" spans="2:17" ht="18.75">
      <c r="B255" s="511" t="s">
        <v>16</v>
      </c>
      <c r="C255" s="511"/>
      <c r="D255" s="31"/>
      <c r="E255" s="31"/>
      <c r="F255" s="31"/>
      <c r="G255" s="31"/>
      <c r="H255" s="664">
        <v>2595.96</v>
      </c>
      <c r="I255" s="664"/>
      <c r="J255" s="664"/>
      <c r="K255" s="51"/>
      <c r="L255" s="51">
        <v>294.7</v>
      </c>
      <c r="M255" s="51"/>
      <c r="N255" s="17"/>
      <c r="O255" s="17"/>
      <c r="P255" s="17"/>
      <c r="Q255" s="17"/>
    </row>
    <row r="256" spans="2:17" ht="18.75">
      <c r="B256" s="511" t="s">
        <v>459</v>
      </c>
      <c r="C256" s="511"/>
      <c r="D256" s="31"/>
      <c r="E256" s="31"/>
      <c r="F256" s="31"/>
      <c r="G256" s="31"/>
      <c r="H256" s="739">
        <v>549.96</v>
      </c>
      <c r="I256" s="739"/>
      <c r="J256" s="664">
        <v>549.96</v>
      </c>
      <c r="K256" s="51">
        <v>549.96</v>
      </c>
      <c r="L256" s="51">
        <v>274.98</v>
      </c>
      <c r="M256" s="51"/>
      <c r="N256" s="17"/>
      <c r="O256" s="17"/>
      <c r="P256" s="17"/>
      <c r="Q256" s="17"/>
    </row>
    <row r="257" spans="2:17" ht="18.75">
      <c r="B257" s="511" t="s">
        <v>460</v>
      </c>
      <c r="C257" s="511"/>
      <c r="D257" s="31"/>
      <c r="E257" s="31"/>
      <c r="F257" s="31"/>
      <c r="G257" s="31"/>
      <c r="H257" s="664">
        <v>166781.4</v>
      </c>
      <c r="I257" s="664"/>
      <c r="J257" s="664">
        <v>166781.4</v>
      </c>
      <c r="K257" s="51">
        <v>166781.4</v>
      </c>
      <c r="L257" s="51">
        <v>166781.43</v>
      </c>
      <c r="M257" s="51">
        <v>0</v>
      </c>
      <c r="N257" s="17">
        <v>0</v>
      </c>
      <c r="O257" s="17">
        <v>74777.06</v>
      </c>
      <c r="P257" s="17">
        <v>0</v>
      </c>
      <c r="Q257" s="17">
        <v>19422.05</v>
      </c>
    </row>
    <row r="258" spans="2:17" ht="18" hidden="1">
      <c r="B258" s="511" t="s">
        <v>17</v>
      </c>
      <c r="C258" s="511"/>
      <c r="D258" s="31"/>
      <c r="E258" s="31"/>
      <c r="F258" s="31"/>
      <c r="G258" s="31"/>
      <c r="H258" s="664"/>
      <c r="I258" s="664"/>
      <c r="J258" s="664"/>
      <c r="K258" s="51"/>
      <c r="L258" s="51"/>
      <c r="M258" s="51"/>
      <c r="N258" s="17"/>
      <c r="O258" s="17"/>
      <c r="P258" s="17"/>
      <c r="Q258" s="17"/>
    </row>
    <row r="259" spans="2:17" ht="18" hidden="1">
      <c r="B259" s="511" t="s">
        <v>18</v>
      </c>
      <c r="C259" s="511"/>
      <c r="D259" s="31"/>
      <c r="E259" s="31"/>
      <c r="F259" s="31"/>
      <c r="G259" s="31"/>
      <c r="H259" s="664"/>
      <c r="I259" s="664"/>
      <c r="J259" s="664"/>
      <c r="K259" s="51"/>
      <c r="L259" s="51"/>
      <c r="M259" s="51"/>
      <c r="N259" s="17"/>
      <c r="O259" s="17"/>
      <c r="P259" s="17"/>
      <c r="Q259" s="17"/>
    </row>
    <row r="260" spans="2:17" ht="18" hidden="1">
      <c r="B260" s="511" t="s">
        <v>19</v>
      </c>
      <c r="C260" s="511"/>
      <c r="D260" s="31"/>
      <c r="E260" s="31"/>
      <c r="F260" s="31"/>
      <c r="G260" s="31"/>
      <c r="H260" s="664"/>
      <c r="I260" s="664"/>
      <c r="J260" s="664"/>
      <c r="K260" s="51"/>
      <c r="L260" s="51"/>
      <c r="M260" s="51">
        <v>0</v>
      </c>
      <c r="N260" s="17">
        <v>0</v>
      </c>
      <c r="O260" s="17"/>
      <c r="P260" s="17">
        <v>5896.11</v>
      </c>
      <c r="Q260" s="17">
        <v>3537.66</v>
      </c>
    </row>
    <row r="261" spans="2:17" ht="18" hidden="1">
      <c r="B261" s="511" t="s">
        <v>461</v>
      </c>
      <c r="C261" s="511"/>
      <c r="D261" s="31"/>
      <c r="E261" s="31"/>
      <c r="F261" s="31"/>
      <c r="G261" s="31"/>
      <c r="H261" s="664"/>
      <c r="I261" s="664"/>
      <c r="J261" s="664"/>
      <c r="K261" s="51"/>
      <c r="L261" s="51">
        <v>13952.9</v>
      </c>
      <c r="M261" s="51">
        <v>30696.35</v>
      </c>
      <c r="N261" s="17">
        <v>0</v>
      </c>
      <c r="O261" s="17">
        <v>28301.28</v>
      </c>
      <c r="P261" s="17">
        <v>5896.11</v>
      </c>
      <c r="Q261" s="17">
        <v>24763.62</v>
      </c>
    </row>
    <row r="262" spans="2:121" s="455" customFormat="1" ht="18.75">
      <c r="B262" s="511" t="s">
        <v>954</v>
      </c>
      <c r="C262" s="511"/>
      <c r="D262" s="31"/>
      <c r="E262" s="31"/>
      <c r="F262" s="31"/>
      <c r="G262" s="31"/>
      <c r="H262" s="664">
        <v>2654.88</v>
      </c>
      <c r="I262" s="664"/>
      <c r="J262" s="664"/>
      <c r="K262" s="458"/>
      <c r="L262" s="458"/>
      <c r="M262" s="458"/>
      <c r="N262" s="457"/>
      <c r="O262" s="457"/>
      <c r="P262" s="457"/>
      <c r="Q262" s="457"/>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456"/>
      <c r="AX262" s="456"/>
      <c r="AY262" s="456"/>
      <c r="AZ262" s="456"/>
      <c r="BA262" s="456"/>
      <c r="CV262" s="456"/>
      <c r="CW262" s="456"/>
      <c r="CX262" s="456"/>
      <c r="CY262" s="456"/>
      <c r="CZ262" s="456"/>
      <c r="DA262" s="456"/>
      <c r="DB262" s="456"/>
      <c r="DC262" s="456"/>
      <c r="DD262" s="456"/>
      <c r="DE262" s="456"/>
      <c r="DF262" s="456"/>
      <c r="DG262" s="456"/>
      <c r="DH262" s="456"/>
      <c r="DI262" s="456"/>
      <c r="DJ262" s="456"/>
      <c r="DK262" s="456"/>
      <c r="DL262" s="456"/>
      <c r="DM262" s="456"/>
      <c r="DN262" s="456"/>
      <c r="DO262" s="456"/>
      <c r="DP262" s="456"/>
      <c r="DQ262" s="456"/>
    </row>
    <row r="263" spans="2:17" ht="18.75">
      <c r="B263" s="511" t="s">
        <v>454</v>
      </c>
      <c r="C263" s="511"/>
      <c r="D263" s="31"/>
      <c r="E263" s="31"/>
      <c r="F263" s="31"/>
      <c r="G263" s="31"/>
      <c r="H263" s="664">
        <v>176239.44</v>
      </c>
      <c r="I263" s="664"/>
      <c r="J263" s="664">
        <v>153352.48</v>
      </c>
      <c r="K263" s="51">
        <v>144525.5</v>
      </c>
      <c r="L263" s="51">
        <v>271973.44</v>
      </c>
      <c r="M263" s="51">
        <v>228416.67</v>
      </c>
      <c r="N263" s="17">
        <f>30696.35+228416.67</f>
        <v>259113.02000000002</v>
      </c>
      <c r="O263" s="17">
        <v>237426.57</v>
      </c>
      <c r="P263" s="17">
        <v>262675.73</v>
      </c>
      <c r="Q263" s="17">
        <v>275194.46</v>
      </c>
    </row>
    <row r="264" spans="1:121" s="455" customFormat="1" ht="18.75">
      <c r="A264" s="455" t="s">
        <v>96</v>
      </c>
      <c r="B264" s="511" t="s">
        <v>1235</v>
      </c>
      <c r="C264" s="511"/>
      <c r="D264" s="31"/>
      <c r="E264" s="31"/>
      <c r="F264" s="31"/>
      <c r="G264" s="31"/>
      <c r="H264" s="664">
        <v>1533.9</v>
      </c>
      <c r="I264" s="664"/>
      <c r="J264" s="664"/>
      <c r="K264" s="458"/>
      <c r="L264" s="458"/>
      <c r="M264" s="458"/>
      <c r="N264" s="457"/>
      <c r="O264" s="457"/>
      <c r="P264" s="457"/>
      <c r="Q264" s="457"/>
      <c r="S264" s="169"/>
      <c r="T264" s="169"/>
      <c r="U264" s="169"/>
      <c r="V264" s="169"/>
      <c r="W264" s="169"/>
      <c r="X264" s="169"/>
      <c r="Y264" s="169"/>
      <c r="Z264" s="169"/>
      <c r="AA264" s="169"/>
      <c r="AB264" s="169"/>
      <c r="AC264" s="169"/>
      <c r="AD264" s="169"/>
      <c r="AE264" s="169"/>
      <c r="AF264" s="169"/>
      <c r="AG264" s="169"/>
      <c r="AH264" s="169"/>
      <c r="AI264" s="169"/>
      <c r="AJ264" s="169"/>
      <c r="AK264" s="169"/>
      <c r="AL264" s="169"/>
      <c r="AM264" s="169"/>
      <c r="AN264" s="169"/>
      <c r="AO264" s="169"/>
      <c r="AP264" s="169"/>
      <c r="AQ264" s="169"/>
      <c r="AR264" s="169"/>
      <c r="AS264" s="169"/>
      <c r="AT264" s="169"/>
      <c r="AU264" s="169"/>
      <c r="AV264" s="169"/>
      <c r="AW264" s="456"/>
      <c r="AX264" s="456"/>
      <c r="AY264" s="456"/>
      <c r="AZ264" s="456"/>
      <c r="BA264" s="456"/>
      <c r="CV264" s="456"/>
      <c r="CW264" s="456"/>
      <c r="CX264" s="456"/>
      <c r="CY264" s="456"/>
      <c r="CZ264" s="456"/>
      <c r="DA264" s="456"/>
      <c r="DB264" s="456"/>
      <c r="DC264" s="456"/>
      <c r="DD264" s="456"/>
      <c r="DE264" s="456"/>
      <c r="DF264" s="456"/>
      <c r="DG264" s="456"/>
      <c r="DH264" s="456"/>
      <c r="DI264" s="456"/>
      <c r="DJ264" s="456"/>
      <c r="DK264" s="456"/>
      <c r="DL264" s="456"/>
      <c r="DM264" s="456"/>
      <c r="DN264" s="456"/>
      <c r="DO264" s="456"/>
      <c r="DP264" s="456"/>
      <c r="DQ264" s="456"/>
    </row>
    <row r="265" spans="1:121" s="455" customFormat="1" ht="18.75">
      <c r="A265" s="455" t="s">
        <v>96</v>
      </c>
      <c r="B265" s="511" t="s">
        <v>955</v>
      </c>
      <c r="C265" s="511"/>
      <c r="D265" s="31"/>
      <c r="E265" s="31"/>
      <c r="F265" s="31"/>
      <c r="G265" s="31"/>
      <c r="H265" s="664">
        <v>94298.16</v>
      </c>
      <c r="I265" s="664"/>
      <c r="J265" s="664"/>
      <c r="K265" s="458"/>
      <c r="L265" s="458"/>
      <c r="M265" s="458"/>
      <c r="N265" s="457"/>
      <c r="O265" s="457"/>
      <c r="P265" s="457"/>
      <c r="Q265" s="457"/>
      <c r="S265" s="169"/>
      <c r="T265" s="169"/>
      <c r="U265" s="169"/>
      <c r="V265" s="169"/>
      <c r="W265" s="169"/>
      <c r="X265" s="169"/>
      <c r="Y265" s="169"/>
      <c r="Z265" s="169"/>
      <c r="AA265" s="169"/>
      <c r="AB265" s="169"/>
      <c r="AC265" s="169"/>
      <c r="AD265" s="169"/>
      <c r="AE265" s="169"/>
      <c r="AF265" s="169"/>
      <c r="AG265" s="169"/>
      <c r="AH265" s="169"/>
      <c r="AI265" s="169"/>
      <c r="AJ265" s="169"/>
      <c r="AK265" s="169"/>
      <c r="AL265" s="169"/>
      <c r="AM265" s="169"/>
      <c r="AN265" s="169"/>
      <c r="AO265" s="169"/>
      <c r="AP265" s="169"/>
      <c r="AQ265" s="169"/>
      <c r="AR265" s="169"/>
      <c r="AS265" s="169"/>
      <c r="AT265" s="169"/>
      <c r="AU265" s="169"/>
      <c r="AV265" s="169"/>
      <c r="AW265" s="456"/>
      <c r="AX265" s="456"/>
      <c r="AY265" s="456"/>
      <c r="AZ265" s="456"/>
      <c r="BA265" s="456"/>
      <c r="CV265" s="456"/>
      <c r="CW265" s="456"/>
      <c r="CX265" s="456"/>
      <c r="CY265" s="456"/>
      <c r="CZ265" s="456"/>
      <c r="DA265" s="456"/>
      <c r="DB265" s="456"/>
      <c r="DC265" s="456"/>
      <c r="DD265" s="456"/>
      <c r="DE265" s="456"/>
      <c r="DF265" s="456"/>
      <c r="DG265" s="456"/>
      <c r="DH265" s="456"/>
      <c r="DI265" s="456"/>
      <c r="DJ265" s="456"/>
      <c r="DK265" s="456"/>
      <c r="DL265" s="456"/>
      <c r="DM265" s="456"/>
      <c r="DN265" s="456"/>
      <c r="DO265" s="456"/>
      <c r="DP265" s="456"/>
      <c r="DQ265" s="456"/>
    </row>
    <row r="266" spans="2:17" ht="18" hidden="1">
      <c r="B266" s="511" t="s">
        <v>462</v>
      </c>
      <c r="C266" s="511"/>
      <c r="D266" s="31"/>
      <c r="E266" s="31"/>
      <c r="F266" s="31"/>
      <c r="G266" s="31"/>
      <c r="H266" s="664"/>
      <c r="I266" s="664"/>
      <c r="J266" s="664"/>
      <c r="K266" s="51"/>
      <c r="L266" s="51"/>
      <c r="M266" s="51"/>
      <c r="N266" s="17"/>
      <c r="O266" s="17"/>
      <c r="P266" s="17"/>
      <c r="Q266" s="17"/>
    </row>
    <row r="267" spans="2:17" ht="18" hidden="1">
      <c r="B267" s="511" t="s">
        <v>463</v>
      </c>
      <c r="C267" s="511"/>
      <c r="D267" s="31"/>
      <c r="E267" s="31"/>
      <c r="F267" s="31"/>
      <c r="G267" s="31"/>
      <c r="H267" s="664"/>
      <c r="I267" s="664"/>
      <c r="J267" s="664"/>
      <c r="K267" s="51"/>
      <c r="L267" s="51"/>
      <c r="M267" s="51"/>
      <c r="N267" s="17"/>
      <c r="O267" s="17"/>
      <c r="P267" s="17"/>
      <c r="Q267" s="17"/>
    </row>
    <row r="268" spans="2:17" ht="18" hidden="1">
      <c r="B268" s="511" t="s">
        <v>464</v>
      </c>
      <c r="C268" s="511"/>
      <c r="D268" s="31"/>
      <c r="E268" s="31"/>
      <c r="F268" s="31"/>
      <c r="G268" s="31"/>
      <c r="H268" s="664"/>
      <c r="I268" s="664"/>
      <c r="J268" s="664"/>
      <c r="K268" s="51"/>
      <c r="L268" s="51"/>
      <c r="M268" s="51"/>
      <c r="N268" s="17"/>
      <c r="O268" s="17"/>
      <c r="P268" s="17"/>
      <c r="Q268" s="17"/>
    </row>
    <row r="269" spans="2:17" ht="18.75">
      <c r="B269" s="511" t="s">
        <v>465</v>
      </c>
      <c r="C269" s="511"/>
      <c r="D269" s="31"/>
      <c r="E269" s="31"/>
      <c r="F269" s="31"/>
      <c r="G269" s="31"/>
      <c r="H269" s="664">
        <v>5896836.12</v>
      </c>
      <c r="I269" s="664"/>
      <c r="J269" s="664">
        <v>5902615.33</v>
      </c>
      <c r="K269" s="51">
        <v>5859813.48</v>
      </c>
      <c r="L269" s="51">
        <v>5862226.34</v>
      </c>
      <c r="M269" s="51">
        <v>5859813.53</v>
      </c>
      <c r="N269" s="17">
        <v>5823870.96</v>
      </c>
      <c r="O269" s="17">
        <v>5598423.12</v>
      </c>
      <c r="P269" s="17">
        <v>5788880.16</v>
      </c>
      <c r="Q269" s="17">
        <v>5611645.92</v>
      </c>
    </row>
    <row r="270" spans="2:17" ht="18" hidden="1">
      <c r="B270" s="511" t="s">
        <v>466</v>
      </c>
      <c r="C270" s="511"/>
      <c r="D270" s="31"/>
      <c r="E270" s="31"/>
      <c r="F270" s="31"/>
      <c r="G270" s="31"/>
      <c r="H270" s="664"/>
      <c r="I270" s="664"/>
      <c r="J270" s="664"/>
      <c r="K270" s="51"/>
      <c r="L270" s="51"/>
      <c r="M270" s="51"/>
      <c r="N270" s="17"/>
      <c r="O270" s="17"/>
      <c r="P270" s="17"/>
      <c r="Q270" s="17"/>
    </row>
    <row r="271" spans="2:121" s="455" customFormat="1" ht="18.75">
      <c r="B271" s="511" t="s">
        <v>672</v>
      </c>
      <c r="C271" s="511"/>
      <c r="D271" s="31"/>
      <c r="E271" s="31"/>
      <c r="F271" s="31"/>
      <c r="G271" s="31"/>
      <c r="H271" s="739">
        <v>1968.48</v>
      </c>
      <c r="I271" s="739"/>
      <c r="J271" s="664">
        <v>1968.48</v>
      </c>
      <c r="K271" s="51">
        <v>164.04</v>
      </c>
      <c r="L271" s="458"/>
      <c r="M271" s="458"/>
      <c r="N271" s="457"/>
      <c r="O271" s="457"/>
      <c r="P271" s="457"/>
      <c r="Q271" s="457"/>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456"/>
      <c r="AX271" s="456"/>
      <c r="AY271" s="456"/>
      <c r="AZ271" s="456"/>
      <c r="BA271" s="456"/>
      <c r="CV271" s="456"/>
      <c r="CW271" s="456"/>
      <c r="CX271" s="456"/>
      <c r="CY271" s="456"/>
      <c r="CZ271" s="456"/>
      <c r="DA271" s="456"/>
      <c r="DB271" s="456"/>
      <c r="DC271" s="456"/>
      <c r="DD271" s="456"/>
      <c r="DE271" s="456"/>
      <c r="DF271" s="456"/>
      <c r="DG271" s="456"/>
      <c r="DH271" s="456"/>
      <c r="DI271" s="456"/>
      <c r="DJ271" s="456"/>
      <c r="DK271" s="456"/>
      <c r="DL271" s="456"/>
      <c r="DM271" s="456"/>
      <c r="DN271" s="456"/>
      <c r="DO271" s="456"/>
      <c r="DP271" s="456"/>
      <c r="DQ271" s="456"/>
    </row>
    <row r="272" spans="2:17" ht="18.75">
      <c r="B272" s="511" t="s">
        <v>467</v>
      </c>
      <c r="C272" s="511"/>
      <c r="D272" s="31"/>
      <c r="E272" s="31"/>
      <c r="F272" s="31"/>
      <c r="G272" s="31"/>
      <c r="H272" s="664">
        <v>2429639.76</v>
      </c>
      <c r="I272" s="664"/>
      <c r="J272" s="664">
        <v>2462755.18</v>
      </c>
      <c r="K272" s="51">
        <v>2246970.24</v>
      </c>
      <c r="L272" s="51">
        <v>2908111.34</v>
      </c>
      <c r="M272" s="51">
        <v>551200.36</v>
      </c>
      <c r="N272" s="17">
        <v>551200.36</v>
      </c>
      <c r="O272" s="17">
        <v>1475527.13</v>
      </c>
      <c r="P272" s="17">
        <v>820814.7</v>
      </c>
      <c r="Q272" s="17">
        <v>1104590.98</v>
      </c>
    </row>
    <row r="273" spans="2:17" ht="18.75">
      <c r="B273" s="511" t="s">
        <v>573</v>
      </c>
      <c r="C273" s="511"/>
      <c r="D273" s="31"/>
      <c r="E273" s="31"/>
      <c r="F273" s="31"/>
      <c r="G273" s="31"/>
      <c r="H273" s="664">
        <v>1478.9</v>
      </c>
      <c r="I273" s="664"/>
      <c r="J273" s="664">
        <v>3549.36</v>
      </c>
      <c r="K273" s="51">
        <v>3549.36</v>
      </c>
      <c r="L273" s="51">
        <v>2514.18</v>
      </c>
      <c r="M273" s="51">
        <v>2588.25</v>
      </c>
      <c r="N273" s="17">
        <v>2588.25</v>
      </c>
      <c r="O273" s="17"/>
      <c r="P273" s="17"/>
      <c r="Q273" s="17"/>
    </row>
    <row r="274" spans="1:47" ht="18.75">
      <c r="A274" s="455" t="s">
        <v>108</v>
      </c>
      <c r="B274" s="511" t="s">
        <v>956</v>
      </c>
      <c r="C274" s="31"/>
      <c r="D274" s="31"/>
      <c r="E274" s="31"/>
      <c r="F274" s="31"/>
      <c r="G274" s="31"/>
      <c r="H274" s="664">
        <v>36819.4</v>
      </c>
      <c r="I274" s="664"/>
      <c r="J274" s="664"/>
      <c r="K274" s="51"/>
      <c r="L274" s="51">
        <v>10616.08</v>
      </c>
      <c r="M274" s="51">
        <v>21232.13</v>
      </c>
      <c r="N274" s="17">
        <v>21232.13</v>
      </c>
      <c r="O274" s="17"/>
      <c r="P274" s="17"/>
      <c r="Q274" s="17"/>
      <c r="AP274" s="506">
        <f>H275-H272-H273</f>
        <v>14965951.84</v>
      </c>
      <c r="AU274" s="506"/>
    </row>
    <row r="275" spans="2:42" ht="15.75" thickBot="1">
      <c r="B275" s="498" t="s">
        <v>562</v>
      </c>
      <c r="C275" s="387"/>
      <c r="D275" s="387"/>
      <c r="E275" s="387"/>
      <c r="F275" s="387"/>
      <c r="G275" s="387"/>
      <c r="H275" s="748">
        <f>SUM(H172:H274)</f>
        <v>17397070.5</v>
      </c>
      <c r="I275" s="748"/>
      <c r="J275" s="748">
        <f aca="true" t="shared" si="3" ref="J275:Q275">SUM(J172:J274)</f>
        <v>15997928.38</v>
      </c>
      <c r="K275" s="207">
        <f t="shared" si="3"/>
        <v>15731967.88</v>
      </c>
      <c r="L275" s="207">
        <f t="shared" si="3"/>
        <v>17514958.43</v>
      </c>
      <c r="M275" s="207">
        <f t="shared" si="3"/>
        <v>11746630.58</v>
      </c>
      <c r="N275" s="39">
        <f t="shared" si="3"/>
        <v>11669195.820000002</v>
      </c>
      <c r="O275" s="39">
        <f t="shared" si="3"/>
        <v>12131509.3</v>
      </c>
      <c r="P275" s="39">
        <f t="shared" si="3"/>
        <v>11478568.75</v>
      </c>
      <c r="Q275" s="39">
        <f t="shared" si="3"/>
        <v>11188720.09</v>
      </c>
      <c r="T275" s="506">
        <v>13656073.77</v>
      </c>
      <c r="U275" s="506">
        <f>T275-13529655.36</f>
        <v>126418.41000000015</v>
      </c>
      <c r="V275" s="506"/>
      <c r="W275" s="506"/>
      <c r="X275" s="506"/>
      <c r="Y275" s="506"/>
      <c r="AP275" s="506">
        <f>H272+H273</f>
        <v>2431118.6599999997</v>
      </c>
    </row>
    <row r="276" spans="2:24" ht="15.75" thickTop="1">
      <c r="B276" s="37"/>
      <c r="C276" s="37"/>
      <c r="D276" s="37"/>
      <c r="E276" s="37"/>
      <c r="F276" s="37"/>
      <c r="G276" s="37"/>
      <c r="H276" s="749">
        <f>+H275-H277</f>
        <v>8327954.780000001</v>
      </c>
      <c r="I276" s="749"/>
      <c r="J276" s="749">
        <f>+J275-J277</f>
        <v>8368919.87</v>
      </c>
      <c r="K276" s="37"/>
      <c r="L276" s="37"/>
      <c r="M276" s="37"/>
      <c r="N276" s="37"/>
      <c r="O276" s="17"/>
      <c r="P276" s="17"/>
      <c r="Q276" s="17"/>
      <c r="V276" s="506"/>
      <c r="W276" s="506"/>
      <c r="X276" s="506"/>
    </row>
    <row r="277" spans="2:121" s="455" customFormat="1" ht="15">
      <c r="B277" s="37"/>
      <c r="C277" s="37"/>
      <c r="D277" s="37"/>
      <c r="E277" s="37"/>
      <c r="F277" s="37"/>
      <c r="G277" s="37"/>
      <c r="H277" s="575">
        <f>+H275-H269-H272-H273</f>
        <v>9069115.719999999</v>
      </c>
      <c r="I277" s="575"/>
      <c r="J277" s="575">
        <f>+J275-J269-J272-J273</f>
        <v>7629008.510000001</v>
      </c>
      <c r="K277" s="37"/>
      <c r="L277" s="37"/>
      <c r="M277" s="37"/>
      <c r="N277" s="37"/>
      <c r="O277" s="457"/>
      <c r="P277" s="457"/>
      <c r="Q277" s="457"/>
      <c r="S277" s="169"/>
      <c r="T277" s="169"/>
      <c r="U277" s="169"/>
      <c r="V277" s="506"/>
      <c r="W277" s="506"/>
      <c r="X277" s="506"/>
      <c r="Y277" s="169"/>
      <c r="Z277" s="169"/>
      <c r="AA277" s="169"/>
      <c r="AB277" s="169"/>
      <c r="AC277" s="169"/>
      <c r="AD277" s="169"/>
      <c r="AE277" s="169"/>
      <c r="AF277" s="169"/>
      <c r="AG277" s="169"/>
      <c r="AH277" s="169"/>
      <c r="AI277" s="169"/>
      <c r="AJ277" s="169"/>
      <c r="AK277" s="169"/>
      <c r="AL277" s="169"/>
      <c r="AM277" s="169"/>
      <c r="AN277" s="169"/>
      <c r="AO277" s="169"/>
      <c r="AP277" s="169"/>
      <c r="AQ277" s="169"/>
      <c r="AR277" s="169"/>
      <c r="AS277" s="169"/>
      <c r="AT277" s="169"/>
      <c r="AU277" s="169"/>
      <c r="AV277" s="169"/>
      <c r="AW277" s="456"/>
      <c r="AX277" s="456"/>
      <c r="AY277" s="456"/>
      <c r="AZ277" s="456"/>
      <c r="BA277" s="456"/>
      <c r="CV277" s="456"/>
      <c r="CW277" s="456"/>
      <c r="CX277" s="456"/>
      <c r="CY277" s="456"/>
      <c r="CZ277" s="456"/>
      <c r="DA277" s="456"/>
      <c r="DB277" s="456"/>
      <c r="DC277" s="456"/>
      <c r="DD277" s="456"/>
      <c r="DE277" s="456"/>
      <c r="DF277" s="456"/>
      <c r="DG277" s="456"/>
      <c r="DH277" s="456"/>
      <c r="DI277" s="456"/>
      <c r="DJ277" s="456"/>
      <c r="DK277" s="456"/>
      <c r="DL277" s="456"/>
      <c r="DM277" s="456"/>
      <c r="DN277" s="456"/>
      <c r="DO277" s="456"/>
      <c r="DP277" s="456"/>
      <c r="DQ277" s="456"/>
    </row>
    <row r="278" spans="2:121" s="455" customFormat="1" ht="15">
      <c r="B278" s="821" t="s">
        <v>957</v>
      </c>
      <c r="C278" s="821"/>
      <c r="D278" s="821"/>
      <c r="E278" s="821"/>
      <c r="F278" s="821"/>
      <c r="G278" s="821"/>
      <c r="H278" s="821"/>
      <c r="I278" s="821"/>
      <c r="J278" s="821"/>
      <c r="K278" s="821"/>
      <c r="L278" s="821"/>
      <c r="M278" s="821"/>
      <c r="N278" s="821"/>
      <c r="O278" s="457"/>
      <c r="P278" s="457"/>
      <c r="Q278" s="457"/>
      <c r="S278" s="169"/>
      <c r="T278" s="169"/>
      <c r="U278" s="169"/>
      <c r="V278" s="506"/>
      <c r="W278" s="506"/>
      <c r="X278" s="506"/>
      <c r="Y278" s="169"/>
      <c r="Z278" s="169"/>
      <c r="AA278" s="169"/>
      <c r="AB278" s="169"/>
      <c r="AC278" s="169"/>
      <c r="AD278" s="169"/>
      <c r="AE278" s="169"/>
      <c r="AF278" s="169"/>
      <c r="AG278" s="169"/>
      <c r="AH278" s="169"/>
      <c r="AI278" s="169"/>
      <c r="AJ278" s="169"/>
      <c r="AK278" s="169"/>
      <c r="AL278" s="169"/>
      <c r="AM278" s="169"/>
      <c r="AN278" s="169"/>
      <c r="AO278" s="169"/>
      <c r="AP278" s="169"/>
      <c r="AQ278" s="169"/>
      <c r="AR278" s="169"/>
      <c r="AS278" s="169"/>
      <c r="AT278" s="169"/>
      <c r="AU278" s="169"/>
      <c r="AV278" s="169"/>
      <c r="AW278" s="456"/>
      <c r="AX278" s="456"/>
      <c r="AY278" s="456"/>
      <c r="AZ278" s="456"/>
      <c r="BA278" s="456"/>
      <c r="CV278" s="456"/>
      <c r="CW278" s="456"/>
      <c r="CX278" s="456"/>
      <c r="CY278" s="456"/>
      <c r="CZ278" s="456"/>
      <c r="DA278" s="456"/>
      <c r="DB278" s="456"/>
      <c r="DC278" s="456"/>
      <c r="DD278" s="456"/>
      <c r="DE278" s="456"/>
      <c r="DF278" s="456"/>
      <c r="DG278" s="456"/>
      <c r="DH278" s="456"/>
      <c r="DI278" s="456"/>
      <c r="DJ278" s="456"/>
      <c r="DK278" s="456"/>
      <c r="DL278" s="456"/>
      <c r="DM278" s="456"/>
      <c r="DN278" s="456"/>
      <c r="DO278" s="456"/>
      <c r="DP278" s="456"/>
      <c r="DQ278" s="456"/>
    </row>
    <row r="279" spans="2:121" s="455" customFormat="1" ht="15">
      <c r="B279" s="821"/>
      <c r="C279" s="821"/>
      <c r="D279" s="821"/>
      <c r="E279" s="821"/>
      <c r="F279" s="821"/>
      <c r="G279" s="821"/>
      <c r="H279" s="821"/>
      <c r="I279" s="821"/>
      <c r="J279" s="821"/>
      <c r="K279" s="821"/>
      <c r="L279" s="821"/>
      <c r="M279" s="821"/>
      <c r="N279" s="821"/>
      <c r="O279" s="457"/>
      <c r="P279" s="457"/>
      <c r="Q279" s="457"/>
      <c r="S279" s="169"/>
      <c r="T279" s="169"/>
      <c r="U279" s="169"/>
      <c r="V279" s="506"/>
      <c r="W279" s="506"/>
      <c r="X279" s="506"/>
      <c r="Y279" s="169"/>
      <c r="Z279" s="169"/>
      <c r="AA279" s="169"/>
      <c r="AB279" s="169"/>
      <c r="AC279" s="169"/>
      <c r="AD279" s="169"/>
      <c r="AE279" s="169"/>
      <c r="AF279" s="169"/>
      <c r="AG279" s="169"/>
      <c r="AH279" s="169"/>
      <c r="AI279" s="169"/>
      <c r="AJ279" s="169"/>
      <c r="AK279" s="169"/>
      <c r="AL279" s="169"/>
      <c r="AM279" s="169"/>
      <c r="AN279" s="169"/>
      <c r="AO279" s="169"/>
      <c r="AP279" s="169"/>
      <c r="AQ279" s="169"/>
      <c r="AR279" s="169"/>
      <c r="AS279" s="169"/>
      <c r="AT279" s="169"/>
      <c r="AU279" s="169"/>
      <c r="AV279" s="169"/>
      <c r="AW279" s="456"/>
      <c r="AX279" s="456"/>
      <c r="AY279" s="456"/>
      <c r="AZ279" s="456"/>
      <c r="BA279" s="456"/>
      <c r="CV279" s="456"/>
      <c r="CW279" s="456"/>
      <c r="CX279" s="456"/>
      <c r="CY279" s="456"/>
      <c r="CZ279" s="456"/>
      <c r="DA279" s="456"/>
      <c r="DB279" s="456"/>
      <c r="DC279" s="456"/>
      <c r="DD279" s="456"/>
      <c r="DE279" s="456"/>
      <c r="DF279" s="456"/>
      <c r="DG279" s="456"/>
      <c r="DH279" s="456"/>
      <c r="DI279" s="456"/>
      <c r="DJ279" s="456"/>
      <c r="DK279" s="456"/>
      <c r="DL279" s="456"/>
      <c r="DM279" s="456"/>
      <c r="DN279" s="456"/>
      <c r="DO279" s="456"/>
      <c r="DP279" s="456"/>
      <c r="DQ279" s="456"/>
    </row>
    <row r="280" spans="2:121" s="455" customFormat="1" ht="15">
      <c r="B280" s="821"/>
      <c r="C280" s="821"/>
      <c r="D280" s="821"/>
      <c r="E280" s="821"/>
      <c r="F280" s="821"/>
      <c r="G280" s="821"/>
      <c r="H280" s="821"/>
      <c r="I280" s="821"/>
      <c r="J280" s="821"/>
      <c r="K280" s="821"/>
      <c r="L280" s="821"/>
      <c r="M280" s="821"/>
      <c r="N280" s="821"/>
      <c r="O280" s="457"/>
      <c r="P280" s="457"/>
      <c r="Q280" s="457"/>
      <c r="S280" s="169"/>
      <c r="T280" s="169"/>
      <c r="U280" s="169"/>
      <c r="V280" s="506"/>
      <c r="W280" s="506"/>
      <c r="X280" s="506"/>
      <c r="Y280" s="169"/>
      <c r="Z280" s="169"/>
      <c r="AA280" s="169"/>
      <c r="AB280" s="169"/>
      <c r="AC280" s="169"/>
      <c r="AD280" s="169"/>
      <c r="AE280" s="169"/>
      <c r="AF280" s="169"/>
      <c r="AG280" s="169"/>
      <c r="AH280" s="169"/>
      <c r="AI280" s="169"/>
      <c r="AJ280" s="169"/>
      <c r="AK280" s="169"/>
      <c r="AL280" s="169"/>
      <c r="AM280" s="169"/>
      <c r="AN280" s="169"/>
      <c r="AO280" s="169"/>
      <c r="AP280" s="169"/>
      <c r="AQ280" s="169"/>
      <c r="AR280" s="169"/>
      <c r="AS280" s="169"/>
      <c r="AT280" s="169"/>
      <c r="AU280" s="169"/>
      <c r="AV280" s="169"/>
      <c r="AW280" s="456"/>
      <c r="AX280" s="456"/>
      <c r="AY280" s="456"/>
      <c r="AZ280" s="456"/>
      <c r="BA280" s="456"/>
      <c r="CV280" s="456"/>
      <c r="CW280" s="456"/>
      <c r="CX280" s="456"/>
      <c r="CY280" s="456"/>
      <c r="CZ280" s="456"/>
      <c r="DA280" s="456"/>
      <c r="DB280" s="456"/>
      <c r="DC280" s="456"/>
      <c r="DD280" s="456"/>
      <c r="DE280" s="456"/>
      <c r="DF280" s="456"/>
      <c r="DG280" s="456"/>
      <c r="DH280" s="456"/>
      <c r="DI280" s="456"/>
      <c r="DJ280" s="456"/>
      <c r="DK280" s="456"/>
      <c r="DL280" s="456"/>
      <c r="DM280" s="456"/>
      <c r="DN280" s="456"/>
      <c r="DO280" s="456"/>
      <c r="DP280" s="456"/>
      <c r="DQ280" s="456"/>
    </row>
    <row r="281" spans="2:121" s="455" customFormat="1" ht="15">
      <c r="B281" s="821"/>
      <c r="C281" s="821"/>
      <c r="D281" s="821"/>
      <c r="E281" s="821"/>
      <c r="F281" s="821"/>
      <c r="G281" s="821"/>
      <c r="H281" s="821"/>
      <c r="I281" s="821"/>
      <c r="J281" s="821"/>
      <c r="K281" s="821"/>
      <c r="L281" s="821"/>
      <c r="M281" s="821"/>
      <c r="N281" s="821"/>
      <c r="O281" s="457"/>
      <c r="P281" s="457"/>
      <c r="Q281" s="457"/>
      <c r="S281" s="169"/>
      <c r="T281" s="169"/>
      <c r="U281" s="169"/>
      <c r="V281" s="506"/>
      <c r="W281" s="506"/>
      <c r="X281" s="506"/>
      <c r="Y281" s="169"/>
      <c r="Z281" s="169"/>
      <c r="AA281" s="169"/>
      <c r="AB281" s="169"/>
      <c r="AC281" s="169"/>
      <c r="AD281" s="169"/>
      <c r="AE281" s="169"/>
      <c r="AF281" s="169"/>
      <c r="AG281" s="169"/>
      <c r="AH281" s="169"/>
      <c r="AI281" s="169"/>
      <c r="AJ281" s="169"/>
      <c r="AK281" s="169"/>
      <c r="AL281" s="169"/>
      <c r="AM281" s="169"/>
      <c r="AN281" s="169"/>
      <c r="AO281" s="169"/>
      <c r="AP281" s="169"/>
      <c r="AQ281" s="169"/>
      <c r="AR281" s="169"/>
      <c r="AS281" s="169"/>
      <c r="AT281" s="169"/>
      <c r="AU281" s="169"/>
      <c r="AV281" s="169"/>
      <c r="AW281" s="456"/>
      <c r="AX281" s="456"/>
      <c r="AY281" s="456"/>
      <c r="AZ281" s="456"/>
      <c r="BA281" s="456"/>
      <c r="CV281" s="456"/>
      <c r="CW281" s="456"/>
      <c r="CX281" s="456"/>
      <c r="CY281" s="456"/>
      <c r="CZ281" s="456"/>
      <c r="DA281" s="456"/>
      <c r="DB281" s="456"/>
      <c r="DC281" s="456"/>
      <c r="DD281" s="456"/>
      <c r="DE281" s="456"/>
      <c r="DF281" s="456"/>
      <c r="DG281" s="456"/>
      <c r="DH281" s="456"/>
      <c r="DI281" s="456"/>
      <c r="DJ281" s="456"/>
      <c r="DK281" s="456"/>
      <c r="DL281" s="456"/>
      <c r="DM281" s="456"/>
      <c r="DN281" s="456"/>
      <c r="DO281" s="456"/>
      <c r="DP281" s="456"/>
      <c r="DQ281" s="456"/>
    </row>
    <row r="282" spans="2:121" s="455" customFormat="1" ht="42" customHeight="1">
      <c r="B282" s="821"/>
      <c r="C282" s="821"/>
      <c r="D282" s="821"/>
      <c r="E282" s="821"/>
      <c r="F282" s="821"/>
      <c r="G282" s="821"/>
      <c r="H282" s="821"/>
      <c r="I282" s="821"/>
      <c r="J282" s="821"/>
      <c r="K282" s="821"/>
      <c r="L282" s="821"/>
      <c r="M282" s="821"/>
      <c r="N282" s="821"/>
      <c r="O282" s="457"/>
      <c r="P282" s="457"/>
      <c r="Q282" s="457"/>
      <c r="S282" s="169"/>
      <c r="T282" s="169"/>
      <c r="U282" s="169"/>
      <c r="V282" s="506"/>
      <c r="W282" s="506"/>
      <c r="X282" s="506"/>
      <c r="Y282" s="169"/>
      <c r="Z282" s="169"/>
      <c r="AA282" s="169"/>
      <c r="AB282" s="169"/>
      <c r="AC282" s="169"/>
      <c r="AD282" s="169"/>
      <c r="AE282" s="169"/>
      <c r="AF282" s="169"/>
      <c r="AG282" s="169"/>
      <c r="AH282" s="169"/>
      <c r="AI282" s="169"/>
      <c r="AJ282" s="169"/>
      <c r="AK282" s="169"/>
      <c r="AL282" s="169"/>
      <c r="AM282" s="169"/>
      <c r="AN282" s="169"/>
      <c r="AO282" s="169"/>
      <c r="AP282" s="169"/>
      <c r="AQ282" s="169"/>
      <c r="AR282" s="169"/>
      <c r="AS282" s="169"/>
      <c r="AT282" s="169"/>
      <c r="AU282" s="169"/>
      <c r="AV282" s="169"/>
      <c r="AW282" s="456"/>
      <c r="AX282" s="456"/>
      <c r="AY282" s="456"/>
      <c r="AZ282" s="456"/>
      <c r="BA282" s="456"/>
      <c r="CV282" s="456"/>
      <c r="CW282" s="456"/>
      <c r="CX282" s="456"/>
      <c r="CY282" s="456"/>
      <c r="CZ282" s="456"/>
      <c r="DA282" s="456"/>
      <c r="DB282" s="456"/>
      <c r="DC282" s="456"/>
      <c r="DD282" s="456"/>
      <c r="DE282" s="456"/>
      <c r="DF282" s="456"/>
      <c r="DG282" s="456"/>
      <c r="DH282" s="456"/>
      <c r="DI282" s="456"/>
      <c r="DJ282" s="456"/>
      <c r="DK282" s="456"/>
      <c r="DL282" s="456"/>
      <c r="DM282" s="456"/>
      <c r="DN282" s="456"/>
      <c r="DO282" s="456"/>
      <c r="DP282" s="456"/>
      <c r="DQ282" s="456"/>
    </row>
    <row r="283" spans="2:121" s="455" customFormat="1" ht="15">
      <c r="B283" s="37"/>
      <c r="C283" s="37"/>
      <c r="D283" s="37"/>
      <c r="E283" s="37"/>
      <c r="F283" s="37"/>
      <c r="G283" s="37"/>
      <c r="H283" s="37"/>
      <c r="I283" s="37"/>
      <c r="J283" s="37"/>
      <c r="K283" s="37"/>
      <c r="L283" s="37"/>
      <c r="M283" s="37"/>
      <c r="N283" s="37"/>
      <c r="O283" s="457"/>
      <c r="P283" s="457"/>
      <c r="Q283" s="457"/>
      <c r="S283" s="169"/>
      <c r="T283" s="169"/>
      <c r="U283" s="169"/>
      <c r="V283" s="506"/>
      <c r="W283" s="506"/>
      <c r="X283" s="506"/>
      <c r="Y283" s="169"/>
      <c r="Z283" s="169"/>
      <c r="AA283" s="169"/>
      <c r="AB283" s="169"/>
      <c r="AC283" s="169"/>
      <c r="AD283" s="169"/>
      <c r="AE283" s="169"/>
      <c r="AF283" s="169"/>
      <c r="AG283" s="169"/>
      <c r="AH283" s="169"/>
      <c r="AI283" s="169"/>
      <c r="AJ283" s="169"/>
      <c r="AK283" s="169"/>
      <c r="AL283" s="169"/>
      <c r="AM283" s="169"/>
      <c r="AN283" s="169"/>
      <c r="AO283" s="169"/>
      <c r="AP283" s="169"/>
      <c r="AQ283" s="169"/>
      <c r="AR283" s="169"/>
      <c r="AS283" s="169"/>
      <c r="AT283" s="169"/>
      <c r="AU283" s="169"/>
      <c r="AV283" s="169"/>
      <c r="AW283" s="456"/>
      <c r="AX283" s="456"/>
      <c r="AY283" s="456"/>
      <c r="AZ283" s="456"/>
      <c r="BA283" s="456"/>
      <c r="CV283" s="456"/>
      <c r="CW283" s="456"/>
      <c r="CX283" s="456"/>
      <c r="CY283" s="456"/>
      <c r="CZ283" s="456"/>
      <c r="DA283" s="456"/>
      <c r="DB283" s="456"/>
      <c r="DC283" s="456"/>
      <c r="DD283" s="456"/>
      <c r="DE283" s="456"/>
      <c r="DF283" s="456"/>
      <c r="DG283" s="456"/>
      <c r="DH283" s="456"/>
      <c r="DI283" s="456"/>
      <c r="DJ283" s="456"/>
      <c r="DK283" s="456"/>
      <c r="DL283" s="456"/>
      <c r="DM283" s="456"/>
      <c r="DN283" s="456"/>
      <c r="DO283" s="456"/>
      <c r="DP283" s="456"/>
      <c r="DQ283" s="456"/>
    </row>
    <row r="284" spans="2:121" s="455" customFormat="1" ht="15">
      <c r="B284" s="37"/>
      <c r="C284" s="37"/>
      <c r="D284" s="37"/>
      <c r="E284" s="37"/>
      <c r="F284" s="37"/>
      <c r="G284" s="37"/>
      <c r="H284" s="37"/>
      <c r="I284" s="37"/>
      <c r="J284" s="37"/>
      <c r="K284" s="37"/>
      <c r="L284" s="37"/>
      <c r="M284" s="37"/>
      <c r="N284" s="37"/>
      <c r="O284" s="457"/>
      <c r="P284" s="457"/>
      <c r="Q284" s="457"/>
      <c r="S284" s="169"/>
      <c r="T284" s="169"/>
      <c r="U284" s="169"/>
      <c r="V284" s="506"/>
      <c r="W284" s="506"/>
      <c r="X284" s="506"/>
      <c r="Y284" s="169"/>
      <c r="Z284" s="169"/>
      <c r="AA284" s="169"/>
      <c r="AB284" s="169"/>
      <c r="AC284" s="169"/>
      <c r="AD284" s="169"/>
      <c r="AE284" s="169"/>
      <c r="AF284" s="169"/>
      <c r="AG284" s="169"/>
      <c r="AH284" s="169"/>
      <c r="AI284" s="169"/>
      <c r="AJ284" s="169"/>
      <c r="AK284" s="169"/>
      <c r="AL284" s="169"/>
      <c r="AM284" s="169"/>
      <c r="AN284" s="169"/>
      <c r="AO284" s="169"/>
      <c r="AP284" s="169"/>
      <c r="AQ284" s="169"/>
      <c r="AR284" s="169"/>
      <c r="AS284" s="169"/>
      <c r="AT284" s="169"/>
      <c r="AU284" s="169"/>
      <c r="AV284" s="169"/>
      <c r="AW284" s="456"/>
      <c r="AX284" s="456"/>
      <c r="AY284" s="456"/>
      <c r="AZ284" s="456"/>
      <c r="BA284" s="456"/>
      <c r="CV284" s="456"/>
      <c r="CW284" s="456"/>
      <c r="CX284" s="456"/>
      <c r="CY284" s="456"/>
      <c r="CZ284" s="456"/>
      <c r="DA284" s="456"/>
      <c r="DB284" s="456"/>
      <c r="DC284" s="456"/>
      <c r="DD284" s="456"/>
      <c r="DE284" s="456"/>
      <c r="DF284" s="456"/>
      <c r="DG284" s="456"/>
      <c r="DH284" s="456"/>
      <c r="DI284" s="456"/>
      <c r="DJ284" s="456"/>
      <c r="DK284" s="456"/>
      <c r="DL284" s="456"/>
      <c r="DM284" s="456"/>
      <c r="DN284" s="456"/>
      <c r="DO284" s="456"/>
      <c r="DP284" s="456"/>
      <c r="DQ284" s="456"/>
    </row>
    <row r="285" ht="15"/>
    <row r="286" spans="2:121" s="455" customFormat="1" ht="20.25">
      <c r="B286" s="514" t="s">
        <v>939</v>
      </c>
      <c r="C286" s="31"/>
      <c r="D286" s="31"/>
      <c r="E286" s="31"/>
      <c r="F286" s="31"/>
      <c r="G286" s="31"/>
      <c r="H286" s="31"/>
      <c r="I286" s="31"/>
      <c r="J286" s="31"/>
      <c r="K286" s="31"/>
      <c r="L286" s="31"/>
      <c r="M286" s="31"/>
      <c r="N286" s="31"/>
      <c r="O286" s="457"/>
      <c r="P286" s="457"/>
      <c r="S286" s="169"/>
      <c r="T286" s="169"/>
      <c r="U286" s="169"/>
      <c r="V286" s="169"/>
      <c r="W286" s="169"/>
      <c r="X286" s="169"/>
      <c r="Y286" s="169"/>
      <c r="Z286" s="169"/>
      <c r="AA286" s="169"/>
      <c r="AB286" s="169"/>
      <c r="AC286" s="169"/>
      <c r="AD286" s="169"/>
      <c r="AE286" s="169"/>
      <c r="AF286" s="169"/>
      <c r="AG286" s="169"/>
      <c r="AH286" s="169"/>
      <c r="AI286" s="169"/>
      <c r="AJ286" s="169"/>
      <c r="AK286" s="169"/>
      <c r="AL286" s="169"/>
      <c r="AM286" s="169"/>
      <c r="AN286" s="169"/>
      <c r="AO286" s="169"/>
      <c r="AP286" s="169"/>
      <c r="AQ286" s="169"/>
      <c r="AR286" s="169"/>
      <c r="AS286" s="169"/>
      <c r="AT286" s="169"/>
      <c r="AU286" s="169"/>
      <c r="AV286" s="169"/>
      <c r="AW286" s="456"/>
      <c r="AX286" s="456"/>
      <c r="AY286" s="456"/>
      <c r="AZ286" s="456"/>
      <c r="BA286" s="456"/>
      <c r="CV286" s="456"/>
      <c r="CW286" s="456"/>
      <c r="CX286" s="456"/>
      <c r="CY286" s="456"/>
      <c r="CZ286" s="456"/>
      <c r="DA286" s="456"/>
      <c r="DB286" s="456"/>
      <c r="DC286" s="456"/>
      <c r="DD286" s="456"/>
      <c r="DE286" s="456"/>
      <c r="DF286" s="456"/>
      <c r="DG286" s="456"/>
      <c r="DH286" s="456"/>
      <c r="DI286" s="456"/>
      <c r="DJ286" s="456"/>
      <c r="DK286" s="456"/>
      <c r="DL286" s="456"/>
      <c r="DM286" s="456"/>
      <c r="DN286" s="456"/>
      <c r="DO286" s="456"/>
      <c r="DP286" s="456"/>
      <c r="DQ286" s="456"/>
    </row>
    <row r="287" spans="2:121" s="455" customFormat="1" ht="24" customHeight="1">
      <c r="B287" s="31"/>
      <c r="C287" s="31"/>
      <c r="D287" s="31"/>
      <c r="E287" s="31"/>
      <c r="F287" s="31"/>
      <c r="G287" s="31"/>
      <c r="H287" s="58" t="s">
        <v>495</v>
      </c>
      <c r="I287" s="58"/>
      <c r="J287" s="58" t="s">
        <v>495</v>
      </c>
      <c r="K287" s="58" t="s">
        <v>495</v>
      </c>
      <c r="L287" s="58" t="s">
        <v>495</v>
      </c>
      <c r="M287" s="58" t="s">
        <v>495</v>
      </c>
      <c r="N287" s="819" t="s">
        <v>525</v>
      </c>
      <c r="O287" s="819"/>
      <c r="P287" s="820" t="s">
        <v>525</v>
      </c>
      <c r="Q287" s="820"/>
      <c r="S287" s="169"/>
      <c r="T287" s="517" t="s">
        <v>895</v>
      </c>
      <c r="U287" s="517" t="s">
        <v>892</v>
      </c>
      <c r="V287" s="507" t="s">
        <v>900</v>
      </c>
      <c r="W287" s="169" t="s">
        <v>897</v>
      </c>
      <c r="X287" s="169" t="s">
        <v>898</v>
      </c>
      <c r="Y287" s="169" t="s">
        <v>899</v>
      </c>
      <c r="Z287" s="169"/>
      <c r="AA287" s="169"/>
      <c r="AB287" s="169"/>
      <c r="AC287" s="169"/>
      <c r="AD287" s="169"/>
      <c r="AE287" s="169"/>
      <c r="AF287" s="169"/>
      <c r="AG287" s="169"/>
      <c r="AH287" s="169"/>
      <c r="AI287" s="169"/>
      <c r="AJ287" s="169"/>
      <c r="AK287" s="169"/>
      <c r="AL287" s="169"/>
      <c r="AM287" s="169"/>
      <c r="AN287" s="169"/>
      <c r="AO287" s="169"/>
      <c r="AP287" s="169"/>
      <c r="AQ287" s="169"/>
      <c r="AR287" s="169"/>
      <c r="AS287" s="169"/>
      <c r="AT287" s="169"/>
      <c r="AU287" s="169"/>
      <c r="AV287" s="169"/>
      <c r="AW287" s="456"/>
      <c r="AX287" s="456"/>
      <c r="AY287" s="456"/>
      <c r="AZ287" s="456"/>
      <c r="BA287" s="456"/>
      <c r="CV287" s="456"/>
      <c r="CW287" s="456"/>
      <c r="CX287" s="456"/>
      <c r="CY287" s="456"/>
      <c r="CZ287" s="456"/>
      <c r="DA287" s="456"/>
      <c r="DB287" s="456"/>
      <c r="DC287" s="456"/>
      <c r="DD287" s="456"/>
      <c r="DE287" s="456"/>
      <c r="DF287" s="456"/>
      <c r="DG287" s="456"/>
      <c r="DH287" s="456"/>
      <c r="DI287" s="456"/>
      <c r="DJ287" s="456"/>
      <c r="DK287" s="456"/>
      <c r="DL287" s="456"/>
      <c r="DM287" s="456"/>
      <c r="DN287" s="456"/>
      <c r="DO287" s="456"/>
      <c r="DP287" s="456"/>
      <c r="DQ287" s="456"/>
    </row>
    <row r="288" spans="2:121" s="455" customFormat="1" ht="18.75">
      <c r="B288" s="31"/>
      <c r="C288" s="31"/>
      <c r="D288" s="31"/>
      <c r="E288" s="31"/>
      <c r="F288" s="31"/>
      <c r="G288" s="31"/>
      <c r="H288" s="32">
        <v>2023</v>
      </c>
      <c r="I288" s="32"/>
      <c r="J288" s="32">
        <v>2022</v>
      </c>
      <c r="K288" s="32">
        <v>2021</v>
      </c>
      <c r="L288" s="32">
        <v>2020</v>
      </c>
      <c r="M288" s="32">
        <v>2019</v>
      </c>
      <c r="N288" s="32">
        <v>2018</v>
      </c>
      <c r="O288" s="32"/>
      <c r="P288" s="32">
        <v>2017</v>
      </c>
      <c r="Q288" s="57">
        <v>2016</v>
      </c>
      <c r="S288" s="169"/>
      <c r="T288" s="169"/>
      <c r="U288" s="169"/>
      <c r="V288" s="169"/>
      <c r="W288" s="169"/>
      <c r="X288" s="169"/>
      <c r="Y288" s="169"/>
      <c r="Z288" s="169"/>
      <c r="AA288" s="169"/>
      <c r="AB288" s="169"/>
      <c r="AC288" s="169"/>
      <c r="AD288" s="169"/>
      <c r="AE288" s="169"/>
      <c r="AF288" s="169"/>
      <c r="AG288" s="169"/>
      <c r="AH288" s="169"/>
      <c r="AI288" s="169"/>
      <c r="AJ288" s="169"/>
      <c r="AK288" s="169"/>
      <c r="AL288" s="169"/>
      <c r="AM288" s="169"/>
      <c r="AN288" s="169"/>
      <c r="AO288" s="169"/>
      <c r="AP288" s="169"/>
      <c r="AQ288" s="169"/>
      <c r="AR288" s="169"/>
      <c r="AS288" s="169"/>
      <c r="AT288" s="169"/>
      <c r="AU288" s="169"/>
      <c r="AV288" s="169"/>
      <c r="AW288" s="456"/>
      <c r="AX288" s="456"/>
      <c r="AY288" s="456"/>
      <c r="AZ288" s="456"/>
      <c r="BA288" s="456"/>
      <c r="CV288" s="456"/>
      <c r="CW288" s="456"/>
      <c r="CX288" s="456"/>
      <c r="CY288" s="456"/>
      <c r="CZ288" s="456"/>
      <c r="DA288" s="456"/>
      <c r="DB288" s="456"/>
      <c r="DC288" s="456"/>
      <c r="DD288" s="456"/>
      <c r="DE288" s="456"/>
      <c r="DF288" s="456"/>
      <c r="DG288" s="456"/>
      <c r="DH288" s="456"/>
      <c r="DI288" s="456"/>
      <c r="DJ288" s="456"/>
      <c r="DK288" s="456"/>
      <c r="DL288" s="456"/>
      <c r="DM288" s="456"/>
      <c r="DN288" s="456"/>
      <c r="DO288" s="456"/>
      <c r="DP288" s="456"/>
      <c r="DQ288" s="456"/>
    </row>
    <row r="289" spans="2:121" s="455" customFormat="1" ht="20.25">
      <c r="B289" s="514" t="s">
        <v>301</v>
      </c>
      <c r="C289" s="31"/>
      <c r="D289" s="31"/>
      <c r="E289" s="31"/>
      <c r="F289" s="31"/>
      <c r="G289" s="31"/>
      <c r="H289" s="31"/>
      <c r="I289" s="31"/>
      <c r="J289" s="31"/>
      <c r="K289" s="31"/>
      <c r="L289" s="31"/>
      <c r="M289" s="31"/>
      <c r="N289" s="31"/>
      <c r="O289" s="457"/>
      <c r="P289" s="457"/>
      <c r="S289" s="169"/>
      <c r="T289" s="169"/>
      <c r="U289" s="169"/>
      <c r="V289" s="169"/>
      <c r="W289" s="169"/>
      <c r="X289" s="169"/>
      <c r="Y289" s="169"/>
      <c r="Z289" s="169"/>
      <c r="AA289" s="169"/>
      <c r="AB289" s="169"/>
      <c r="AC289" s="169"/>
      <c r="AD289" s="169"/>
      <c r="AE289" s="169"/>
      <c r="AF289" s="169"/>
      <c r="AG289" s="169"/>
      <c r="AH289" s="169"/>
      <c r="AI289" s="169"/>
      <c r="AJ289" s="169"/>
      <c r="AK289" s="169"/>
      <c r="AL289" s="169"/>
      <c r="AM289" s="169"/>
      <c r="AN289" s="169"/>
      <c r="AO289" s="169"/>
      <c r="AP289" s="169"/>
      <c r="AQ289" s="169"/>
      <c r="AR289" s="169"/>
      <c r="AS289" s="169"/>
      <c r="AT289" s="169"/>
      <c r="AU289" s="169"/>
      <c r="AV289" s="169"/>
      <c r="AW289" s="456"/>
      <c r="AX289" s="456"/>
      <c r="AY289" s="456"/>
      <c r="AZ289" s="456"/>
      <c r="BA289" s="456"/>
      <c r="CV289" s="456"/>
      <c r="CW289" s="456"/>
      <c r="CX289" s="456"/>
      <c r="CY289" s="456"/>
      <c r="CZ289" s="456"/>
      <c r="DA289" s="456"/>
      <c r="DB289" s="456"/>
      <c r="DC289" s="456"/>
      <c r="DD289" s="456"/>
      <c r="DE289" s="456"/>
      <c r="DF289" s="456"/>
      <c r="DG289" s="456"/>
      <c r="DH289" s="456"/>
      <c r="DI289" s="456"/>
      <c r="DJ289" s="456"/>
      <c r="DK289" s="456"/>
      <c r="DL289" s="456"/>
      <c r="DM289" s="456"/>
      <c r="DN289" s="456"/>
      <c r="DO289" s="456"/>
      <c r="DP289" s="456"/>
      <c r="DQ289" s="456"/>
    </row>
    <row r="290" spans="2:121" s="455" customFormat="1" ht="15" customHeight="1" hidden="1">
      <c r="B290" s="31" t="s">
        <v>302</v>
      </c>
      <c r="C290" s="31"/>
      <c r="D290" s="31"/>
      <c r="E290" s="31"/>
      <c r="F290" s="31"/>
      <c r="G290" s="31"/>
      <c r="H290" s="31"/>
      <c r="I290" s="31"/>
      <c r="J290" s="31"/>
      <c r="K290" s="31"/>
      <c r="L290" s="31"/>
      <c r="M290" s="31"/>
      <c r="N290" s="31"/>
      <c r="O290" s="457"/>
      <c r="P290" s="457"/>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456"/>
      <c r="AX290" s="456"/>
      <c r="AY290" s="456"/>
      <c r="AZ290" s="456"/>
      <c r="BA290" s="456"/>
      <c r="CV290" s="456"/>
      <c r="CW290" s="456"/>
      <c r="CX290" s="456"/>
      <c r="CY290" s="456"/>
      <c r="CZ290" s="456"/>
      <c r="DA290" s="456"/>
      <c r="DB290" s="456"/>
      <c r="DC290" s="456"/>
      <c r="DD290" s="456"/>
      <c r="DE290" s="456"/>
      <c r="DF290" s="456"/>
      <c r="DG290" s="456"/>
      <c r="DH290" s="456"/>
      <c r="DI290" s="456"/>
      <c r="DJ290" s="456"/>
      <c r="DK290" s="456"/>
      <c r="DL290" s="456"/>
      <c r="DM290" s="456"/>
      <c r="DN290" s="456"/>
      <c r="DO290" s="456"/>
      <c r="DP290" s="456"/>
      <c r="DQ290" s="456"/>
    </row>
    <row r="291" spans="2:121" s="455" customFormat="1" ht="15" customHeight="1" hidden="1">
      <c r="B291" s="31" t="s">
        <v>303</v>
      </c>
      <c r="C291" s="31"/>
      <c r="D291" s="31"/>
      <c r="E291" s="31"/>
      <c r="F291" s="31"/>
      <c r="G291" s="31"/>
      <c r="H291" s="31"/>
      <c r="I291" s="31"/>
      <c r="J291" s="31"/>
      <c r="K291" s="31"/>
      <c r="L291" s="31"/>
      <c r="M291" s="31"/>
      <c r="N291" s="31"/>
      <c r="O291" s="457"/>
      <c r="P291" s="457"/>
      <c r="S291" s="169"/>
      <c r="T291" s="169"/>
      <c r="U291" s="169"/>
      <c r="V291" s="169"/>
      <c r="W291" s="169"/>
      <c r="X291" s="169"/>
      <c r="Y291" s="169"/>
      <c r="Z291" s="169"/>
      <c r="AA291" s="169"/>
      <c r="AB291" s="169"/>
      <c r="AC291" s="169"/>
      <c r="AD291" s="169"/>
      <c r="AE291" s="169"/>
      <c r="AF291" s="169"/>
      <c r="AG291" s="169"/>
      <c r="AH291" s="169"/>
      <c r="AI291" s="169"/>
      <c r="AJ291" s="169"/>
      <c r="AK291" s="169"/>
      <c r="AL291" s="169"/>
      <c r="AM291" s="169"/>
      <c r="AN291" s="169"/>
      <c r="AO291" s="169"/>
      <c r="AP291" s="169"/>
      <c r="AQ291" s="169"/>
      <c r="AR291" s="169"/>
      <c r="AS291" s="169"/>
      <c r="AT291" s="169"/>
      <c r="AU291" s="169"/>
      <c r="AV291" s="169"/>
      <c r="AW291" s="456"/>
      <c r="AX291" s="456"/>
      <c r="AY291" s="456"/>
      <c r="AZ291" s="456"/>
      <c r="BA291" s="456"/>
      <c r="CV291" s="456"/>
      <c r="CW291" s="456"/>
      <c r="CX291" s="456"/>
      <c r="CY291" s="456"/>
      <c r="CZ291" s="456"/>
      <c r="DA291" s="456"/>
      <c r="DB291" s="456"/>
      <c r="DC291" s="456"/>
      <c r="DD291" s="456"/>
      <c r="DE291" s="456"/>
      <c r="DF291" s="456"/>
      <c r="DG291" s="456"/>
      <c r="DH291" s="456"/>
      <c r="DI291" s="456"/>
      <c r="DJ291" s="456"/>
      <c r="DK291" s="456"/>
      <c r="DL291" s="456"/>
      <c r="DM291" s="456"/>
      <c r="DN291" s="456"/>
      <c r="DO291" s="456"/>
      <c r="DP291" s="456"/>
      <c r="DQ291" s="456"/>
    </row>
    <row r="292" spans="2:121" s="455" customFormat="1" ht="18.75">
      <c r="B292" s="509" t="s">
        <v>304</v>
      </c>
      <c r="C292" s="509"/>
      <c r="D292" s="412"/>
      <c r="E292" s="412"/>
      <c r="F292" s="412"/>
      <c r="G292" s="387"/>
      <c r="H292" s="739">
        <v>2635135.76</v>
      </c>
      <c r="I292" s="739"/>
      <c r="J292" s="739">
        <v>2220928.42</v>
      </c>
      <c r="K292" s="460">
        <v>2280703.71</v>
      </c>
      <c r="L292" s="460">
        <v>4487674.21</v>
      </c>
      <c r="M292" s="460">
        <v>4936399.99</v>
      </c>
      <c r="N292" s="460">
        <v>5246892.22</v>
      </c>
      <c r="O292" s="460">
        <v>8053074.84</v>
      </c>
      <c r="P292" s="460">
        <v>4295247.69</v>
      </c>
      <c r="Q292" s="457">
        <v>5495025.39</v>
      </c>
      <c r="S292" s="169"/>
      <c r="T292" s="506">
        <v>9592054.9</v>
      </c>
      <c r="U292" s="506">
        <f>+T292-J292-J295</f>
        <v>-27235.079999999143</v>
      </c>
      <c r="V292" s="506">
        <f>1717.84+6134.7+3321.23+1639.81+2780+5025.96+1601.51+3230.11+1633.91+150</f>
        <v>27235.07</v>
      </c>
      <c r="W292" s="169"/>
      <c r="X292" s="169"/>
      <c r="Y292" s="169"/>
      <c r="Z292" s="169"/>
      <c r="AA292" s="169"/>
      <c r="AB292" s="169"/>
      <c r="AC292" s="169"/>
      <c r="AD292" s="169"/>
      <c r="AE292" s="169"/>
      <c r="AF292" s="169"/>
      <c r="AG292" s="169"/>
      <c r="AH292" s="169"/>
      <c r="AI292" s="169"/>
      <c r="AJ292" s="169"/>
      <c r="AK292" s="169"/>
      <c r="AL292" s="169"/>
      <c r="AM292" s="169"/>
      <c r="AN292" s="169"/>
      <c r="AO292" s="169"/>
      <c r="AP292" s="506">
        <f>H292+H294+H295</f>
        <v>9965094.25</v>
      </c>
      <c r="AQ292" s="169"/>
      <c r="AR292" s="169"/>
      <c r="AS292" s="169"/>
      <c r="AT292" s="169"/>
      <c r="AU292" s="506">
        <v>3339738.63</v>
      </c>
      <c r="AV292" s="506">
        <f>+H292-AU292</f>
        <v>-704602.8700000001</v>
      </c>
      <c r="AW292" s="458">
        <f>+AV292+AV295</f>
        <v>661680.5700000003</v>
      </c>
      <c r="AX292" s="456" t="s">
        <v>1232</v>
      </c>
      <c r="AY292" s="456"/>
      <c r="AZ292" s="456"/>
      <c r="BA292" s="456"/>
      <c r="CV292" s="456"/>
      <c r="CW292" s="456"/>
      <c r="CX292" s="456"/>
      <c r="CY292" s="456"/>
      <c r="CZ292" s="456"/>
      <c r="DA292" s="456"/>
      <c r="DB292" s="456"/>
      <c r="DC292" s="456"/>
      <c r="DD292" s="456"/>
      <c r="DE292" s="456"/>
      <c r="DF292" s="456"/>
      <c r="DG292" s="456"/>
      <c r="DH292" s="456"/>
      <c r="DI292" s="456"/>
      <c r="DJ292" s="456"/>
      <c r="DK292" s="456"/>
      <c r="DL292" s="456"/>
      <c r="DM292" s="456"/>
      <c r="DN292" s="456"/>
      <c r="DO292" s="456"/>
      <c r="DP292" s="456"/>
      <c r="DQ292" s="456"/>
    </row>
    <row r="293" spans="2:121" s="455" customFormat="1" ht="18" hidden="1">
      <c r="B293" s="511" t="s">
        <v>305</v>
      </c>
      <c r="C293" s="511"/>
      <c r="D293" s="31"/>
      <c r="E293" s="31"/>
      <c r="F293" s="31"/>
      <c r="G293" s="387"/>
      <c r="H293" s="739"/>
      <c r="I293" s="739"/>
      <c r="J293" s="720"/>
      <c r="K293" s="31"/>
      <c r="L293" s="460"/>
      <c r="M293" s="460"/>
      <c r="N293" s="460"/>
      <c r="O293" s="460"/>
      <c r="P293" s="460"/>
      <c r="Q293" s="457"/>
      <c r="S293" s="169"/>
      <c r="T293" s="169"/>
      <c r="U293" s="169"/>
      <c r="V293" s="169"/>
      <c r="W293" s="169"/>
      <c r="X293" s="169"/>
      <c r="Y293" s="169"/>
      <c r="Z293" s="169"/>
      <c r="AA293" s="169"/>
      <c r="AB293" s="169"/>
      <c r="AC293" s="169"/>
      <c r="AD293" s="169"/>
      <c r="AE293" s="169"/>
      <c r="AF293" s="169"/>
      <c r="AG293" s="169"/>
      <c r="AH293" s="169"/>
      <c r="AI293" s="169"/>
      <c r="AJ293" s="169"/>
      <c r="AK293" s="169"/>
      <c r="AL293" s="169"/>
      <c r="AM293" s="169"/>
      <c r="AN293" s="169"/>
      <c r="AO293" s="169"/>
      <c r="AP293" s="169"/>
      <c r="AQ293" s="169"/>
      <c r="AR293" s="169"/>
      <c r="AS293" s="169"/>
      <c r="AT293" s="169"/>
      <c r="AU293" s="169"/>
      <c r="AV293" s="169"/>
      <c r="AW293" s="456"/>
      <c r="AX293" s="456"/>
      <c r="AY293" s="456"/>
      <c r="AZ293" s="456"/>
      <c r="BA293" s="456"/>
      <c r="CV293" s="456"/>
      <c r="CW293" s="456"/>
      <c r="CX293" s="456"/>
      <c r="CY293" s="456"/>
      <c r="CZ293" s="456"/>
      <c r="DA293" s="456"/>
      <c r="DB293" s="456"/>
      <c r="DC293" s="456"/>
      <c r="DD293" s="456"/>
      <c r="DE293" s="456"/>
      <c r="DF293" s="456"/>
      <c r="DG293" s="456"/>
      <c r="DH293" s="456"/>
      <c r="DI293" s="456"/>
      <c r="DJ293" s="456"/>
      <c r="DK293" s="456"/>
      <c r="DL293" s="456"/>
      <c r="DM293" s="456"/>
      <c r="DN293" s="456"/>
      <c r="DO293" s="456"/>
      <c r="DP293" s="456"/>
      <c r="DQ293" s="456"/>
    </row>
    <row r="294" spans="2:121" s="455" customFormat="1" ht="18.75">
      <c r="B294" s="511" t="s">
        <v>306</v>
      </c>
      <c r="C294" s="511"/>
      <c r="D294" s="31"/>
      <c r="E294" s="31"/>
      <c r="F294" s="31"/>
      <c r="G294" s="387"/>
      <c r="H294" s="739">
        <v>38238.55</v>
      </c>
      <c r="I294" s="739"/>
      <c r="J294" s="721">
        <v>28530</v>
      </c>
      <c r="K294" s="460">
        <v>39919.2</v>
      </c>
      <c r="L294" s="460">
        <v>39440</v>
      </c>
      <c r="M294" s="460">
        <v>58118.28</v>
      </c>
      <c r="N294" s="460">
        <v>385788.5</v>
      </c>
      <c r="O294" s="460">
        <v>57802.2</v>
      </c>
      <c r="P294" s="460">
        <v>79829.34</v>
      </c>
      <c r="Q294" s="457">
        <v>50556.89</v>
      </c>
      <c r="S294" s="169"/>
      <c r="T294" s="169"/>
      <c r="U294" s="169"/>
      <c r="V294" s="169"/>
      <c r="W294" s="169"/>
      <c r="X294" s="169"/>
      <c r="Y294" s="169"/>
      <c r="Z294" s="169"/>
      <c r="AA294" s="169"/>
      <c r="AB294" s="169"/>
      <c r="AC294" s="169"/>
      <c r="AD294" s="169"/>
      <c r="AE294" s="169"/>
      <c r="AF294" s="169"/>
      <c r="AG294" s="169"/>
      <c r="AH294" s="169"/>
      <c r="AI294" s="169"/>
      <c r="AJ294" s="169"/>
      <c r="AK294" s="169"/>
      <c r="AL294" s="169"/>
      <c r="AM294" s="169"/>
      <c r="AN294" s="169"/>
      <c r="AO294" s="169"/>
      <c r="AP294" s="455">
        <v>32238.55</v>
      </c>
      <c r="AQ294" s="169"/>
      <c r="AR294" s="169"/>
      <c r="AS294" s="169"/>
      <c r="AT294" s="169"/>
      <c r="AU294" s="169" t="s">
        <v>1231</v>
      </c>
      <c r="AV294" s="169"/>
      <c r="AW294" s="456"/>
      <c r="AX294" s="456"/>
      <c r="AY294" s="456"/>
      <c r="AZ294" s="456"/>
      <c r="BA294" s="456"/>
      <c r="CV294" s="456"/>
      <c r="CW294" s="456"/>
      <c r="CX294" s="456"/>
      <c r="CY294" s="456"/>
      <c r="CZ294" s="456"/>
      <c r="DA294" s="456"/>
      <c r="DB294" s="456"/>
      <c r="DC294" s="456"/>
      <c r="DD294" s="456"/>
      <c r="DE294" s="456"/>
      <c r="DF294" s="456"/>
      <c r="DG294" s="456"/>
      <c r="DH294" s="456"/>
      <c r="DI294" s="456"/>
      <c r="DJ294" s="456"/>
      <c r="DK294" s="456"/>
      <c r="DL294" s="456"/>
      <c r="DM294" s="456"/>
      <c r="DN294" s="456"/>
      <c r="DO294" s="456"/>
      <c r="DP294" s="456"/>
      <c r="DQ294" s="456"/>
    </row>
    <row r="295" spans="2:121" s="455" customFormat="1" ht="18.75">
      <c r="B295" s="509" t="s">
        <v>307</v>
      </c>
      <c r="C295" s="509"/>
      <c r="D295" s="412"/>
      <c r="E295" s="412"/>
      <c r="F295" s="412"/>
      <c r="G295" s="387"/>
      <c r="H295" s="739">
        <v>7291719.94</v>
      </c>
      <c r="I295" s="739"/>
      <c r="J295" s="739">
        <v>7398361.56</v>
      </c>
      <c r="K295" s="460">
        <v>8499919.59</v>
      </c>
      <c r="L295" s="460">
        <v>6004195.54</v>
      </c>
      <c r="M295" s="460">
        <v>4534507.11</v>
      </c>
      <c r="N295" s="460">
        <v>5300373.66</v>
      </c>
      <c r="O295" s="460">
        <v>133535.38</v>
      </c>
      <c r="P295" s="460">
        <v>4243944.87</v>
      </c>
      <c r="Q295" s="457">
        <v>2685649.48</v>
      </c>
      <c r="S295" s="169"/>
      <c r="T295" s="169"/>
      <c r="U295" s="169"/>
      <c r="V295" s="169"/>
      <c r="W295" s="169"/>
      <c r="X295" s="169"/>
      <c r="Y295" s="169"/>
      <c r="Z295" s="169"/>
      <c r="AA295" s="169"/>
      <c r="AB295" s="169"/>
      <c r="AC295" s="169"/>
      <c r="AD295" s="169"/>
      <c r="AE295" s="169"/>
      <c r="AF295" s="169"/>
      <c r="AG295" s="169"/>
      <c r="AH295" s="169"/>
      <c r="AI295" s="169"/>
      <c r="AJ295" s="169"/>
      <c r="AK295" s="169"/>
      <c r="AL295" s="169"/>
      <c r="AM295" s="169"/>
      <c r="AN295" s="169"/>
      <c r="AO295" s="169"/>
      <c r="AP295" s="506"/>
      <c r="AQ295" s="169"/>
      <c r="AR295" s="169"/>
      <c r="AS295" s="169"/>
      <c r="AT295" s="169"/>
      <c r="AU295" s="506">
        <v>5925436.5</v>
      </c>
      <c r="AV295" s="506">
        <f>+H295-AU295</f>
        <v>1366283.4400000004</v>
      </c>
      <c r="AW295" s="456"/>
      <c r="AX295" s="456"/>
      <c r="AY295" s="456"/>
      <c r="AZ295" s="456"/>
      <c r="BA295" s="456"/>
      <c r="CV295" s="456"/>
      <c r="CW295" s="456"/>
      <c r="CX295" s="456"/>
      <c r="CY295" s="456"/>
      <c r="CZ295" s="456"/>
      <c r="DA295" s="456"/>
      <c r="DB295" s="456"/>
      <c r="DC295" s="456"/>
      <c r="DD295" s="456"/>
      <c r="DE295" s="456"/>
      <c r="DF295" s="456"/>
      <c r="DG295" s="456"/>
      <c r="DH295" s="456"/>
      <c r="DI295" s="456"/>
      <c r="DJ295" s="456"/>
      <c r="DK295" s="456"/>
      <c r="DL295" s="456"/>
      <c r="DM295" s="456"/>
      <c r="DN295" s="456"/>
      <c r="DO295" s="456"/>
      <c r="DP295" s="456"/>
      <c r="DQ295" s="456"/>
    </row>
    <row r="296" spans="2:121" s="455" customFormat="1" ht="18.75">
      <c r="B296" s="509" t="s">
        <v>308</v>
      </c>
      <c r="C296" s="509"/>
      <c r="D296" s="387"/>
      <c r="E296" s="387"/>
      <c r="F296" s="387"/>
      <c r="G296" s="387"/>
      <c r="H296" s="739">
        <v>7706655.45</v>
      </c>
      <c r="I296" s="739"/>
      <c r="J296" s="739">
        <v>6997065.76</v>
      </c>
      <c r="K296" s="460">
        <v>6000252.65</v>
      </c>
      <c r="L296" s="460">
        <v>5028999.24</v>
      </c>
      <c r="M296" s="460">
        <v>5006635.5</v>
      </c>
      <c r="N296" s="460">
        <v>5773981.46</v>
      </c>
      <c r="O296" s="460">
        <v>5962856.93</v>
      </c>
      <c r="P296" s="460">
        <v>5282460.72</v>
      </c>
      <c r="Q296" s="457">
        <v>5626179.9</v>
      </c>
      <c r="S296" s="169"/>
      <c r="T296" s="506">
        <v>7415437.46</v>
      </c>
      <c r="U296" s="506">
        <f>+J296-T296</f>
        <v>-418371.7000000002</v>
      </c>
      <c r="V296" s="169" t="s">
        <v>896</v>
      </c>
      <c r="W296" s="169"/>
      <c r="X296" s="169"/>
      <c r="Y296" s="169"/>
      <c r="Z296" s="169"/>
      <c r="AA296" s="169"/>
      <c r="AB296" s="169"/>
      <c r="AC296" s="169"/>
      <c r="AD296" s="169"/>
      <c r="AE296" s="169"/>
      <c r="AF296" s="169"/>
      <c r="AG296" s="169"/>
      <c r="AH296" s="169"/>
      <c r="AI296" s="169"/>
      <c r="AJ296" s="169"/>
      <c r="AK296" s="169"/>
      <c r="AL296" s="169"/>
      <c r="AM296" s="169"/>
      <c r="AN296" s="169"/>
      <c r="AO296" s="169"/>
      <c r="AP296" s="169"/>
      <c r="AQ296" s="169"/>
      <c r="AR296" s="169"/>
      <c r="AS296" s="169"/>
      <c r="AT296" s="169"/>
      <c r="AU296" s="169"/>
      <c r="AV296" s="169"/>
      <c r="AW296" s="456"/>
      <c r="AX296" s="456"/>
      <c r="AY296" s="456"/>
      <c r="AZ296" s="456"/>
      <c r="BA296" s="456"/>
      <c r="CV296" s="456"/>
      <c r="CW296" s="456"/>
      <c r="CX296" s="456"/>
      <c r="CY296" s="456"/>
      <c r="CZ296" s="456"/>
      <c r="DA296" s="456"/>
      <c r="DB296" s="456"/>
      <c r="DC296" s="456"/>
      <c r="DD296" s="456"/>
      <c r="DE296" s="456"/>
      <c r="DF296" s="456"/>
      <c r="DG296" s="456"/>
      <c r="DH296" s="456"/>
      <c r="DI296" s="456"/>
      <c r="DJ296" s="456"/>
      <c r="DK296" s="456"/>
      <c r="DL296" s="456"/>
      <c r="DM296" s="456"/>
      <c r="DN296" s="456"/>
      <c r="DO296" s="456"/>
      <c r="DP296" s="456"/>
      <c r="DQ296" s="456"/>
    </row>
    <row r="297" spans="2:121" s="455" customFormat="1" ht="18.75">
      <c r="B297" s="509" t="s">
        <v>309</v>
      </c>
      <c r="C297" s="509"/>
      <c r="D297" s="387"/>
      <c r="E297" s="387"/>
      <c r="F297" s="387"/>
      <c r="G297" s="387"/>
      <c r="H297" s="739">
        <f>67887+124045</f>
        <v>191932</v>
      </c>
      <c r="I297" s="739"/>
      <c r="J297" s="739">
        <f>85632+124135</f>
        <v>209767</v>
      </c>
      <c r="K297" s="460">
        <f>45248+157125</f>
        <v>202373</v>
      </c>
      <c r="L297" s="460">
        <f>67872+78302</f>
        <v>146174</v>
      </c>
      <c r="M297" s="460">
        <f>67872+136450</f>
        <v>204322</v>
      </c>
      <c r="N297" s="460">
        <f>52320+86122</f>
        <v>138442</v>
      </c>
      <c r="O297" s="460">
        <f>6080+58788+51093</f>
        <v>115961</v>
      </c>
      <c r="P297" s="460">
        <f>52320+64976</f>
        <v>117296</v>
      </c>
      <c r="Q297" s="457">
        <f>52320+78711</f>
        <v>131031</v>
      </c>
      <c r="S297" s="169"/>
      <c r="T297" s="506">
        <v>209767</v>
      </c>
      <c r="U297" s="506">
        <f>+J297-T297</f>
        <v>0</v>
      </c>
      <c r="V297" s="169"/>
      <c r="W297" s="169"/>
      <c r="X297" s="169"/>
      <c r="Y297" s="169"/>
      <c r="Z297" s="169"/>
      <c r="AA297" s="169"/>
      <c r="AB297" s="169"/>
      <c r="AC297" s="169"/>
      <c r="AD297" s="169"/>
      <c r="AE297" s="169"/>
      <c r="AF297" s="169"/>
      <c r="AG297" s="169"/>
      <c r="AH297" s="169"/>
      <c r="AI297" s="169"/>
      <c r="AJ297" s="169"/>
      <c r="AK297" s="169"/>
      <c r="AL297" s="169"/>
      <c r="AM297" s="169"/>
      <c r="AN297" s="169"/>
      <c r="AO297" s="169"/>
      <c r="AP297" s="169"/>
      <c r="AQ297" s="169"/>
      <c r="AR297" s="169"/>
      <c r="AS297" s="169"/>
      <c r="AT297" s="169"/>
      <c r="AU297" s="169"/>
      <c r="AV297" s="169"/>
      <c r="AW297" s="456"/>
      <c r="AX297" s="456"/>
      <c r="AY297" s="456"/>
      <c r="AZ297" s="456"/>
      <c r="BA297" s="456"/>
      <c r="CV297" s="456"/>
      <c r="CW297" s="456"/>
      <c r="CX297" s="456"/>
      <c r="CY297" s="456"/>
      <c r="CZ297" s="456"/>
      <c r="DA297" s="456"/>
      <c r="DB297" s="456"/>
      <c r="DC297" s="456"/>
      <c r="DD297" s="456"/>
      <c r="DE297" s="456"/>
      <c r="DF297" s="456"/>
      <c r="DG297" s="456"/>
      <c r="DH297" s="456"/>
      <c r="DI297" s="456"/>
      <c r="DJ297" s="456"/>
      <c r="DK297" s="456"/>
      <c r="DL297" s="456"/>
      <c r="DM297" s="456"/>
      <c r="DN297" s="456"/>
      <c r="DO297" s="456"/>
      <c r="DP297" s="456"/>
      <c r="DQ297" s="456"/>
    </row>
    <row r="298" spans="2:121" s="455" customFormat="1" ht="18.75">
      <c r="B298" s="511" t="s">
        <v>310</v>
      </c>
      <c r="C298" s="511"/>
      <c r="D298" s="31"/>
      <c r="E298" s="31"/>
      <c r="F298" s="31"/>
      <c r="G298" s="31"/>
      <c r="H298" s="739">
        <v>344626.25</v>
      </c>
      <c r="I298" s="739"/>
      <c r="J298" s="721">
        <f>252464+3180</f>
        <v>255644</v>
      </c>
      <c r="K298" s="460">
        <v>164388.63</v>
      </c>
      <c r="L298" s="460">
        <v>141469.81</v>
      </c>
      <c r="M298" s="460">
        <v>148967.57</v>
      </c>
      <c r="N298" s="460">
        <v>146848</v>
      </c>
      <c r="O298" s="460">
        <v>150505.6</v>
      </c>
      <c r="P298" s="460">
        <v>193455.17</v>
      </c>
      <c r="Q298" s="457">
        <v>125209</v>
      </c>
      <c r="S298" s="169"/>
      <c r="T298" s="169"/>
      <c r="U298" s="169"/>
      <c r="V298" s="169"/>
      <c r="W298" s="169"/>
      <c r="X298" s="169"/>
      <c r="Y298" s="169"/>
      <c r="Z298" s="169"/>
      <c r="AA298" s="169"/>
      <c r="AB298" s="169"/>
      <c r="AC298" s="169"/>
      <c r="AD298" s="169"/>
      <c r="AE298" s="169"/>
      <c r="AF298" s="169"/>
      <c r="AG298" s="169"/>
      <c r="AH298" s="169"/>
      <c r="AI298" s="169"/>
      <c r="AJ298" s="169"/>
      <c r="AK298" s="169"/>
      <c r="AL298" s="169"/>
      <c r="AM298" s="169"/>
      <c r="AN298" s="169"/>
      <c r="AO298" s="169"/>
      <c r="AP298" s="169"/>
      <c r="AQ298" s="169"/>
      <c r="AR298" s="169"/>
      <c r="AS298" s="169"/>
      <c r="AT298" s="169"/>
      <c r="AU298" s="169"/>
      <c r="AV298" s="169"/>
      <c r="AW298" s="456"/>
      <c r="AX298" s="456"/>
      <c r="AY298" s="456"/>
      <c r="AZ298" s="456"/>
      <c r="BA298" s="456"/>
      <c r="CV298" s="456"/>
      <c r="CW298" s="456"/>
      <c r="CX298" s="456"/>
      <c r="CY298" s="456"/>
      <c r="CZ298" s="456"/>
      <c r="DA298" s="456"/>
      <c r="DB298" s="456"/>
      <c r="DC298" s="456"/>
      <c r="DD298" s="456"/>
      <c r="DE298" s="456"/>
      <c r="DF298" s="456"/>
      <c r="DG298" s="456"/>
      <c r="DH298" s="456"/>
      <c r="DI298" s="456"/>
      <c r="DJ298" s="456"/>
      <c r="DK298" s="456"/>
      <c r="DL298" s="456"/>
      <c r="DM298" s="456"/>
      <c r="DN298" s="456"/>
      <c r="DO298" s="456"/>
      <c r="DP298" s="456"/>
      <c r="DQ298" s="456"/>
    </row>
    <row r="299" spans="2:121" s="455" customFormat="1" ht="18.75">
      <c r="B299" s="511" t="s">
        <v>311</v>
      </c>
      <c r="C299" s="511"/>
      <c r="D299" s="31"/>
      <c r="E299" s="31"/>
      <c r="F299" s="31"/>
      <c r="G299" s="31"/>
      <c r="H299" s="739">
        <v>315966.66</v>
      </c>
      <c r="I299" s="739"/>
      <c r="J299" s="721">
        <v>240000</v>
      </c>
      <c r="K299" s="460">
        <v>272299.97</v>
      </c>
      <c r="L299" s="460">
        <v>456266.59</v>
      </c>
      <c r="M299" s="460">
        <v>246816.56</v>
      </c>
      <c r="N299" s="460">
        <v>406116.6</v>
      </c>
      <c r="O299" s="460">
        <v>460230.51</v>
      </c>
      <c r="P299" s="460">
        <v>460200</v>
      </c>
      <c r="Q299" s="457">
        <v>389400</v>
      </c>
      <c r="S299" s="169"/>
      <c r="T299" s="169"/>
      <c r="U299" s="169"/>
      <c r="V299" s="169"/>
      <c r="W299" s="169"/>
      <c r="X299" s="169"/>
      <c r="Y299" s="169"/>
      <c r="Z299" s="169"/>
      <c r="AA299" s="169"/>
      <c r="AB299" s="169"/>
      <c r="AC299" s="169"/>
      <c r="AD299" s="169"/>
      <c r="AE299" s="169"/>
      <c r="AF299" s="169"/>
      <c r="AG299" s="169"/>
      <c r="AH299" s="169"/>
      <c r="AI299" s="169"/>
      <c r="AJ299" s="169"/>
      <c r="AK299" s="169"/>
      <c r="AL299" s="169"/>
      <c r="AM299" s="169"/>
      <c r="AN299" s="169"/>
      <c r="AO299" s="169"/>
      <c r="AP299" s="169"/>
      <c r="AQ299" s="169"/>
      <c r="AR299" s="169"/>
      <c r="AS299" s="169"/>
      <c r="AT299" s="169"/>
      <c r="AU299" s="169"/>
      <c r="AV299" s="169"/>
      <c r="AW299" s="456"/>
      <c r="AX299" s="456"/>
      <c r="AY299" s="456"/>
      <c r="AZ299" s="456"/>
      <c r="BA299" s="456"/>
      <c r="CV299" s="456"/>
      <c r="CW299" s="456"/>
      <c r="CX299" s="456"/>
      <c r="CY299" s="456"/>
      <c r="CZ299" s="456"/>
      <c r="DA299" s="456"/>
      <c r="DB299" s="456"/>
      <c r="DC299" s="456"/>
      <c r="DD299" s="456"/>
      <c r="DE299" s="456"/>
      <c r="DF299" s="456"/>
      <c r="DG299" s="456"/>
      <c r="DH299" s="456"/>
      <c r="DI299" s="456"/>
      <c r="DJ299" s="456"/>
      <c r="DK299" s="456"/>
      <c r="DL299" s="456"/>
      <c r="DM299" s="456"/>
      <c r="DN299" s="456"/>
      <c r="DO299" s="456"/>
      <c r="DP299" s="456"/>
      <c r="DQ299" s="456"/>
    </row>
    <row r="300" spans="2:121" s="455" customFormat="1" ht="18" hidden="1">
      <c r="B300" s="511" t="s">
        <v>312</v>
      </c>
      <c r="C300" s="511"/>
      <c r="D300" s="31"/>
      <c r="E300" s="31"/>
      <c r="F300" s="31"/>
      <c r="G300" s="31"/>
      <c r="H300" s="739"/>
      <c r="I300" s="739"/>
      <c r="J300" s="721"/>
      <c r="K300" s="460"/>
      <c r="L300" s="460"/>
      <c r="M300" s="460"/>
      <c r="N300" s="460"/>
      <c r="O300" s="460"/>
      <c r="P300" s="460"/>
      <c r="Q300" s="457"/>
      <c r="S300" s="169"/>
      <c r="T300" s="169"/>
      <c r="U300" s="169"/>
      <c r="V300" s="169"/>
      <c r="W300" s="169"/>
      <c r="X300" s="169"/>
      <c r="Y300" s="169"/>
      <c r="Z300" s="169"/>
      <c r="AA300" s="169"/>
      <c r="AB300" s="169"/>
      <c r="AC300" s="169"/>
      <c r="AD300" s="169"/>
      <c r="AE300" s="169"/>
      <c r="AF300" s="169"/>
      <c r="AG300" s="169"/>
      <c r="AH300" s="169"/>
      <c r="AI300" s="169"/>
      <c r="AJ300" s="169"/>
      <c r="AK300" s="169"/>
      <c r="AL300" s="169"/>
      <c r="AM300" s="169"/>
      <c r="AN300" s="169"/>
      <c r="AO300" s="169"/>
      <c r="AP300" s="169"/>
      <c r="AQ300" s="169"/>
      <c r="AR300" s="169"/>
      <c r="AS300" s="169"/>
      <c r="AT300" s="169"/>
      <c r="AU300" s="169"/>
      <c r="AV300" s="169"/>
      <c r="AW300" s="456"/>
      <c r="AX300" s="456"/>
      <c r="AY300" s="456"/>
      <c r="AZ300" s="456"/>
      <c r="BA300" s="456"/>
      <c r="CV300" s="456"/>
      <c r="CW300" s="456"/>
      <c r="CX300" s="456"/>
      <c r="CY300" s="456"/>
      <c r="CZ300" s="456"/>
      <c r="DA300" s="456"/>
      <c r="DB300" s="456"/>
      <c r="DC300" s="456"/>
      <c r="DD300" s="456"/>
      <c r="DE300" s="456"/>
      <c r="DF300" s="456"/>
      <c r="DG300" s="456"/>
      <c r="DH300" s="456"/>
      <c r="DI300" s="456"/>
      <c r="DJ300" s="456"/>
      <c r="DK300" s="456"/>
      <c r="DL300" s="456"/>
      <c r="DM300" s="456"/>
      <c r="DN300" s="456"/>
      <c r="DO300" s="456"/>
      <c r="DP300" s="456"/>
      <c r="DQ300" s="456"/>
    </row>
    <row r="301" spans="2:121" s="455" customFormat="1" ht="18" hidden="1">
      <c r="B301" s="511" t="s">
        <v>313</v>
      </c>
      <c r="C301" s="511"/>
      <c r="D301" s="31"/>
      <c r="E301" s="31"/>
      <c r="F301" s="31"/>
      <c r="G301" s="31"/>
      <c r="H301" s="739"/>
      <c r="I301" s="739"/>
      <c r="J301" s="721"/>
      <c r="K301" s="460"/>
      <c r="L301" s="460"/>
      <c r="M301" s="460"/>
      <c r="N301" s="460"/>
      <c r="O301" s="460"/>
      <c r="P301" s="460"/>
      <c r="Q301" s="457"/>
      <c r="S301" s="169"/>
      <c r="T301" s="169"/>
      <c r="U301" s="169"/>
      <c r="V301" s="169"/>
      <c r="W301" s="169"/>
      <c r="X301" s="169"/>
      <c r="Y301" s="169"/>
      <c r="Z301" s="169"/>
      <c r="AA301" s="169"/>
      <c r="AB301" s="169"/>
      <c r="AC301" s="169"/>
      <c r="AD301" s="169"/>
      <c r="AE301" s="169"/>
      <c r="AF301" s="169"/>
      <c r="AG301" s="169"/>
      <c r="AH301" s="169"/>
      <c r="AI301" s="169"/>
      <c r="AJ301" s="169"/>
      <c r="AK301" s="169"/>
      <c r="AL301" s="169"/>
      <c r="AM301" s="169"/>
      <c r="AN301" s="169"/>
      <c r="AO301" s="169"/>
      <c r="AP301" s="169"/>
      <c r="AQ301" s="169"/>
      <c r="AR301" s="169"/>
      <c r="AS301" s="169"/>
      <c r="AT301" s="169"/>
      <c r="AU301" s="169"/>
      <c r="AV301" s="169"/>
      <c r="AW301" s="456"/>
      <c r="AX301" s="456"/>
      <c r="AY301" s="456"/>
      <c r="AZ301" s="456"/>
      <c r="BA301" s="456"/>
      <c r="CV301" s="456"/>
      <c r="CW301" s="456"/>
      <c r="CX301" s="456"/>
      <c r="CY301" s="456"/>
      <c r="CZ301" s="456"/>
      <c r="DA301" s="456"/>
      <c r="DB301" s="456"/>
      <c r="DC301" s="456"/>
      <c r="DD301" s="456"/>
      <c r="DE301" s="456"/>
      <c r="DF301" s="456"/>
      <c r="DG301" s="456"/>
      <c r="DH301" s="456"/>
      <c r="DI301" s="456"/>
      <c r="DJ301" s="456"/>
      <c r="DK301" s="456"/>
      <c r="DL301" s="456"/>
      <c r="DM301" s="456"/>
      <c r="DN301" s="456"/>
      <c r="DO301" s="456"/>
      <c r="DP301" s="456"/>
      <c r="DQ301" s="456"/>
    </row>
    <row r="302" spans="2:121" s="455" customFormat="1" ht="18" hidden="1">
      <c r="B302" s="511" t="s">
        <v>314</v>
      </c>
      <c r="C302" s="511"/>
      <c r="D302" s="31"/>
      <c r="E302" s="31"/>
      <c r="F302" s="31"/>
      <c r="G302" s="31"/>
      <c r="H302" s="739"/>
      <c r="I302" s="739"/>
      <c r="J302" s="721"/>
      <c r="K302" s="460"/>
      <c r="L302" s="460"/>
      <c r="M302" s="460"/>
      <c r="N302" s="460"/>
      <c r="O302" s="460"/>
      <c r="P302" s="460"/>
      <c r="Q302" s="457"/>
      <c r="S302" s="169"/>
      <c r="T302" s="169"/>
      <c r="U302" s="169"/>
      <c r="V302" s="169"/>
      <c r="W302" s="169"/>
      <c r="X302" s="169"/>
      <c r="Y302" s="169"/>
      <c r="Z302" s="169"/>
      <c r="AA302" s="169"/>
      <c r="AB302" s="169"/>
      <c r="AC302" s="169"/>
      <c r="AD302" s="169"/>
      <c r="AE302" s="169"/>
      <c r="AF302" s="169"/>
      <c r="AG302" s="169"/>
      <c r="AH302" s="169"/>
      <c r="AI302" s="169"/>
      <c r="AJ302" s="169"/>
      <c r="AK302" s="169"/>
      <c r="AL302" s="169"/>
      <c r="AM302" s="169"/>
      <c r="AN302" s="169"/>
      <c r="AO302" s="169"/>
      <c r="AP302" s="169"/>
      <c r="AQ302" s="169"/>
      <c r="AR302" s="169"/>
      <c r="AS302" s="169"/>
      <c r="AT302" s="169"/>
      <c r="AU302" s="169"/>
      <c r="AV302" s="169"/>
      <c r="AW302" s="456"/>
      <c r="AX302" s="456"/>
      <c r="AY302" s="456"/>
      <c r="AZ302" s="456"/>
      <c r="BA302" s="456"/>
      <c r="CV302" s="456"/>
      <c r="CW302" s="456"/>
      <c r="CX302" s="456"/>
      <c r="CY302" s="456"/>
      <c r="CZ302" s="456"/>
      <c r="DA302" s="456"/>
      <c r="DB302" s="456"/>
      <c r="DC302" s="456"/>
      <c r="DD302" s="456"/>
      <c r="DE302" s="456"/>
      <c r="DF302" s="456"/>
      <c r="DG302" s="456"/>
      <c r="DH302" s="456"/>
      <c r="DI302" s="456"/>
      <c r="DJ302" s="456"/>
      <c r="DK302" s="456"/>
      <c r="DL302" s="456"/>
      <c r="DM302" s="456"/>
      <c r="DN302" s="456"/>
      <c r="DO302" s="456"/>
      <c r="DP302" s="456"/>
      <c r="DQ302" s="456"/>
    </row>
    <row r="303" spans="2:121" s="455" customFormat="1" ht="18" hidden="1">
      <c r="B303" s="511" t="s">
        <v>315</v>
      </c>
      <c r="C303" s="511"/>
      <c r="D303" s="31"/>
      <c r="E303" s="31"/>
      <c r="F303" s="31"/>
      <c r="G303" s="31"/>
      <c r="H303" s="739"/>
      <c r="I303" s="739"/>
      <c r="J303" s="721"/>
      <c r="K303" s="460"/>
      <c r="L303" s="460"/>
      <c r="M303" s="460"/>
      <c r="N303" s="460"/>
      <c r="O303" s="460"/>
      <c r="P303" s="460"/>
      <c r="Q303" s="457"/>
      <c r="S303" s="169"/>
      <c r="T303" s="169"/>
      <c r="U303" s="169"/>
      <c r="V303" s="169"/>
      <c r="W303" s="169"/>
      <c r="X303" s="169"/>
      <c r="Y303" s="169"/>
      <c r="Z303" s="169"/>
      <c r="AA303" s="169"/>
      <c r="AB303" s="169"/>
      <c r="AC303" s="169"/>
      <c r="AD303" s="169"/>
      <c r="AE303" s="169"/>
      <c r="AF303" s="169"/>
      <c r="AG303" s="169"/>
      <c r="AH303" s="169"/>
      <c r="AI303" s="169"/>
      <c r="AJ303" s="169"/>
      <c r="AK303" s="169"/>
      <c r="AL303" s="169"/>
      <c r="AM303" s="169"/>
      <c r="AN303" s="169"/>
      <c r="AO303" s="169"/>
      <c r="AP303" s="169"/>
      <c r="AQ303" s="169"/>
      <c r="AR303" s="169"/>
      <c r="AS303" s="169"/>
      <c r="AT303" s="169"/>
      <c r="AU303" s="169"/>
      <c r="AV303" s="169"/>
      <c r="AW303" s="456"/>
      <c r="AX303" s="456"/>
      <c r="AY303" s="456"/>
      <c r="AZ303" s="456"/>
      <c r="BA303" s="456"/>
      <c r="CV303" s="456"/>
      <c r="CW303" s="456"/>
      <c r="CX303" s="456"/>
      <c r="CY303" s="456"/>
      <c r="CZ303" s="456"/>
      <c r="DA303" s="456"/>
      <c r="DB303" s="456"/>
      <c r="DC303" s="456"/>
      <c r="DD303" s="456"/>
      <c r="DE303" s="456"/>
      <c r="DF303" s="456"/>
      <c r="DG303" s="456"/>
      <c r="DH303" s="456"/>
      <c r="DI303" s="456"/>
      <c r="DJ303" s="456"/>
      <c r="DK303" s="456"/>
      <c r="DL303" s="456"/>
      <c r="DM303" s="456"/>
      <c r="DN303" s="456"/>
      <c r="DO303" s="456"/>
      <c r="DP303" s="456"/>
      <c r="DQ303" s="456"/>
    </row>
    <row r="304" spans="2:121" s="455" customFormat="1" ht="18.75">
      <c r="B304" s="511" t="s">
        <v>316</v>
      </c>
      <c r="C304" s="511"/>
      <c r="D304" s="31"/>
      <c r="E304" s="31"/>
      <c r="F304" s="31"/>
      <c r="G304" s="31"/>
      <c r="H304" s="739">
        <v>6790161.89</v>
      </c>
      <c r="I304" s="739"/>
      <c r="J304" s="721">
        <v>6996219</v>
      </c>
      <c r="K304" s="460">
        <v>19940328.7</v>
      </c>
      <c r="L304" s="460">
        <v>16130720.45</v>
      </c>
      <c r="M304" s="460">
        <v>14103158.53</v>
      </c>
      <c r="N304" s="460">
        <v>16878722.64</v>
      </c>
      <c r="O304" s="460">
        <v>13143057.35</v>
      </c>
      <c r="P304" s="460">
        <v>16454604.38</v>
      </c>
      <c r="Q304" s="457">
        <v>15708260.12</v>
      </c>
      <c r="S304" s="169"/>
      <c r="T304" s="506">
        <v>18943924.5</v>
      </c>
      <c r="U304" s="506">
        <f>+T304-J305-J304-J306</f>
        <v>-1273731.8000000003</v>
      </c>
      <c r="V304" s="169"/>
      <c r="W304" s="169"/>
      <c r="X304" s="169"/>
      <c r="Y304" s="169"/>
      <c r="Z304" s="169"/>
      <c r="AA304" s="169"/>
      <c r="AB304" s="169"/>
      <c r="AC304" s="169"/>
      <c r="AD304" s="169"/>
      <c r="AE304" s="169"/>
      <c r="AF304" s="169"/>
      <c r="AG304" s="169"/>
      <c r="AH304" s="169"/>
      <c r="AI304" s="169"/>
      <c r="AJ304" s="169"/>
      <c r="AK304" s="169"/>
      <c r="AL304" s="169"/>
      <c r="AM304" s="169"/>
      <c r="AN304" s="169"/>
      <c r="AO304" s="169"/>
      <c r="AP304" s="506">
        <f>H304+H305+H306</f>
        <v>22757237.66</v>
      </c>
      <c r="AQ304" s="169"/>
      <c r="AR304" s="169"/>
      <c r="AS304" s="169"/>
      <c r="AT304" s="169"/>
      <c r="AU304" s="169"/>
      <c r="AV304" s="169"/>
      <c r="AW304" s="456"/>
      <c r="AX304" s="456"/>
      <c r="AY304" s="456"/>
      <c r="AZ304" s="456"/>
      <c r="BA304" s="456"/>
      <c r="CV304" s="456"/>
      <c r="CW304" s="456"/>
      <c r="CX304" s="456"/>
      <c r="CY304" s="456"/>
      <c r="CZ304" s="456"/>
      <c r="DA304" s="456"/>
      <c r="DB304" s="456"/>
      <c r="DC304" s="456"/>
      <c r="DD304" s="456"/>
      <c r="DE304" s="456"/>
      <c r="DF304" s="456"/>
      <c r="DG304" s="456"/>
      <c r="DH304" s="456"/>
      <c r="DI304" s="456"/>
      <c r="DJ304" s="456"/>
      <c r="DK304" s="456"/>
      <c r="DL304" s="456"/>
      <c r="DM304" s="456"/>
      <c r="DN304" s="456"/>
      <c r="DO304" s="456"/>
      <c r="DP304" s="456"/>
      <c r="DQ304" s="456"/>
    </row>
    <row r="305" spans="2:121" s="455" customFormat="1" ht="18.75">
      <c r="B305" s="509" t="s">
        <v>317</v>
      </c>
      <c r="C305" s="509"/>
      <c r="D305" s="387"/>
      <c r="E305" s="387"/>
      <c r="F305" s="387"/>
      <c r="G305" s="387"/>
      <c r="H305" s="739">
        <v>15847281.27</v>
      </c>
      <c r="I305" s="739"/>
      <c r="J305" s="739">
        <v>13101938.9</v>
      </c>
      <c r="K305" s="460">
        <v>271825.97</v>
      </c>
      <c r="L305" s="460">
        <v>271935.7</v>
      </c>
      <c r="M305" s="460">
        <v>51480.1</v>
      </c>
      <c r="N305" s="460">
        <v>50610.5</v>
      </c>
      <c r="O305" s="460">
        <v>251560.44</v>
      </c>
      <c r="P305" s="460">
        <v>194486.56</v>
      </c>
      <c r="Q305" s="457">
        <v>199866.98</v>
      </c>
      <c r="S305" s="169"/>
      <c r="T305" s="506"/>
      <c r="U305" s="506"/>
      <c r="V305" s="202">
        <v>10022.9</v>
      </c>
      <c r="W305" s="202">
        <v>68127.3</v>
      </c>
      <c r="X305" s="202">
        <f>59000+59000+580000+59000+29500+59000+59000+59000+59000+59000</f>
        <v>1081500</v>
      </c>
      <c r="Y305" s="508"/>
      <c r="Z305" s="169"/>
      <c r="AA305" s="169"/>
      <c r="AB305" s="169"/>
      <c r="AC305" s="169"/>
      <c r="AD305" s="169"/>
      <c r="AE305" s="169"/>
      <c r="AF305" s="169"/>
      <c r="AG305" s="169"/>
      <c r="AH305" s="169"/>
      <c r="AI305" s="169"/>
      <c r="AJ305" s="169"/>
      <c r="AK305" s="169"/>
      <c r="AL305" s="169"/>
      <c r="AM305" s="169"/>
      <c r="AN305" s="169"/>
      <c r="AO305" s="169"/>
      <c r="AP305" s="169"/>
      <c r="AQ305" s="169"/>
      <c r="AR305" s="169"/>
      <c r="AS305" s="169"/>
      <c r="AT305" s="169"/>
      <c r="AU305" s="169"/>
      <c r="AV305" s="169"/>
      <c r="AW305" s="456"/>
      <c r="AX305" s="456"/>
      <c r="AY305" s="456"/>
      <c r="AZ305" s="456"/>
      <c r="BA305" s="456"/>
      <c r="CV305" s="456"/>
      <c r="CW305" s="456"/>
      <c r="CX305" s="456"/>
      <c r="CY305" s="456"/>
      <c r="CZ305" s="456"/>
      <c r="DA305" s="456"/>
      <c r="DB305" s="456"/>
      <c r="DC305" s="456"/>
      <c r="DD305" s="456"/>
      <c r="DE305" s="456"/>
      <c r="DF305" s="456"/>
      <c r="DG305" s="456"/>
      <c r="DH305" s="456"/>
      <c r="DI305" s="456"/>
      <c r="DJ305" s="456"/>
      <c r="DK305" s="456"/>
      <c r="DL305" s="456"/>
      <c r="DM305" s="456"/>
      <c r="DN305" s="456"/>
      <c r="DO305" s="456"/>
      <c r="DP305" s="456"/>
      <c r="DQ305" s="456"/>
    </row>
    <row r="306" spans="2:121" s="455" customFormat="1" ht="18.75">
      <c r="B306" s="511" t="s">
        <v>829</v>
      </c>
      <c r="C306" s="511"/>
      <c r="D306" s="31"/>
      <c r="E306" s="31"/>
      <c r="F306" s="31"/>
      <c r="G306" s="31"/>
      <c r="H306" s="739">
        <v>119794.5</v>
      </c>
      <c r="I306" s="739"/>
      <c r="J306" s="721">
        <v>119498.4</v>
      </c>
      <c r="K306" s="460"/>
      <c r="L306" s="460"/>
      <c r="M306" s="460"/>
      <c r="N306" s="460"/>
      <c r="O306" s="460"/>
      <c r="P306" s="460"/>
      <c r="Q306" s="457"/>
      <c r="S306" s="169"/>
      <c r="T306" s="169"/>
      <c r="U306" s="169"/>
      <c r="V306" s="169"/>
      <c r="W306" s="169"/>
      <c r="X306" s="169"/>
      <c r="Y306" s="169"/>
      <c r="Z306" s="169"/>
      <c r="AA306" s="169"/>
      <c r="AB306" s="169"/>
      <c r="AC306" s="169"/>
      <c r="AD306" s="169"/>
      <c r="AE306" s="169"/>
      <c r="AF306" s="169"/>
      <c r="AG306" s="169"/>
      <c r="AH306" s="169"/>
      <c r="AI306" s="169"/>
      <c r="AJ306" s="169"/>
      <c r="AK306" s="169"/>
      <c r="AL306" s="169"/>
      <c r="AM306" s="169"/>
      <c r="AN306" s="169"/>
      <c r="AO306" s="169"/>
      <c r="AP306" s="169"/>
      <c r="AQ306" s="169"/>
      <c r="AR306" s="169"/>
      <c r="AS306" s="169"/>
      <c r="AT306" s="169"/>
      <c r="AU306" s="169"/>
      <c r="AV306" s="169"/>
      <c r="AW306" s="456"/>
      <c r="AX306" s="456"/>
      <c r="AY306" s="456"/>
      <c r="AZ306" s="456"/>
      <c r="BA306" s="456"/>
      <c r="CV306" s="456"/>
      <c r="CW306" s="456"/>
      <c r="CX306" s="456"/>
      <c r="CY306" s="456"/>
      <c r="CZ306" s="456"/>
      <c r="DA306" s="456"/>
      <c r="DB306" s="456"/>
      <c r="DC306" s="456"/>
      <c r="DD306" s="456"/>
      <c r="DE306" s="456"/>
      <c r="DF306" s="456"/>
      <c r="DG306" s="456"/>
      <c r="DH306" s="456"/>
      <c r="DI306" s="456"/>
      <c r="DJ306" s="456"/>
      <c r="DK306" s="456"/>
      <c r="DL306" s="456"/>
      <c r="DM306" s="456"/>
      <c r="DN306" s="456"/>
      <c r="DO306" s="456"/>
      <c r="DP306" s="456"/>
      <c r="DQ306" s="456"/>
    </row>
    <row r="307" spans="2:121" s="455" customFormat="1" ht="18.75">
      <c r="B307" s="509" t="s">
        <v>565</v>
      </c>
      <c r="C307" s="509"/>
      <c r="D307" s="387"/>
      <c r="E307" s="387"/>
      <c r="F307" s="387"/>
      <c r="G307" s="387"/>
      <c r="H307" s="739">
        <v>1055401.51</v>
      </c>
      <c r="I307" s="739"/>
      <c r="J307" s="739">
        <v>1135705.16</v>
      </c>
      <c r="K307" s="460">
        <v>748834.59</v>
      </c>
      <c r="L307" s="460">
        <v>228210</v>
      </c>
      <c r="M307" s="460">
        <v>562309.35</v>
      </c>
      <c r="N307" s="460">
        <v>645760</v>
      </c>
      <c r="O307" s="460">
        <v>312630.62</v>
      </c>
      <c r="P307" s="460">
        <v>540811.64</v>
      </c>
      <c r="Q307" s="457">
        <v>232440</v>
      </c>
      <c r="S307" s="169"/>
      <c r="T307" s="506">
        <v>1182395.47</v>
      </c>
      <c r="U307" s="506">
        <f>+J307-T307</f>
        <v>-46690.310000000056</v>
      </c>
      <c r="V307" s="169"/>
      <c r="W307" s="169"/>
      <c r="X307" s="169"/>
      <c r="Y307" s="506">
        <f>24276.48+42500</f>
        <v>66776.48</v>
      </c>
      <c r="Z307" s="506"/>
      <c r="AA307" s="169"/>
      <c r="AB307" s="169"/>
      <c r="AC307" s="169"/>
      <c r="AD307" s="169"/>
      <c r="AE307" s="169"/>
      <c r="AF307" s="169"/>
      <c r="AG307" s="169"/>
      <c r="AH307" s="169"/>
      <c r="AI307" s="169"/>
      <c r="AJ307" s="169"/>
      <c r="AK307" s="169"/>
      <c r="AL307" s="169"/>
      <c r="AM307" s="169"/>
      <c r="AN307" s="169"/>
      <c r="AO307" s="169"/>
      <c r="AP307" s="506">
        <f>H307+H308+H314</f>
        <v>1840136.23</v>
      </c>
      <c r="AQ307" s="169"/>
      <c r="AR307" s="169"/>
      <c r="AS307" s="169"/>
      <c r="AT307" s="169"/>
      <c r="AU307" s="169"/>
      <c r="AV307" s="169"/>
      <c r="AW307" s="456"/>
      <c r="AX307" s="456"/>
      <c r="AY307" s="456"/>
      <c r="AZ307" s="456"/>
      <c r="BA307" s="456"/>
      <c r="CV307" s="456"/>
      <c r="CW307" s="456"/>
      <c r="CX307" s="456"/>
      <c r="CY307" s="456"/>
      <c r="CZ307" s="456"/>
      <c r="DA307" s="456"/>
      <c r="DB307" s="456"/>
      <c r="DC307" s="456"/>
      <c r="DD307" s="456"/>
      <c r="DE307" s="456"/>
      <c r="DF307" s="456"/>
      <c r="DG307" s="456"/>
      <c r="DH307" s="456"/>
      <c r="DI307" s="456"/>
      <c r="DJ307" s="456"/>
      <c r="DK307" s="456"/>
      <c r="DL307" s="456"/>
      <c r="DM307" s="456"/>
      <c r="DN307" s="456"/>
      <c r="DO307" s="456"/>
      <c r="DP307" s="456"/>
      <c r="DQ307" s="456"/>
    </row>
    <row r="308" spans="2:121" s="455" customFormat="1" ht="18.75">
      <c r="B308" s="509" t="s">
        <v>506</v>
      </c>
      <c r="C308" s="509"/>
      <c r="D308" s="387"/>
      <c r="E308" s="387"/>
      <c r="F308" s="387"/>
      <c r="G308" s="387"/>
      <c r="H308" s="739">
        <v>726517.12</v>
      </c>
      <c r="I308" s="739"/>
      <c r="J308" s="739"/>
      <c r="K308" s="460"/>
      <c r="L308" s="460">
        <v>245316.87</v>
      </c>
      <c r="M308" s="460">
        <v>1378498.92</v>
      </c>
      <c r="N308" s="460">
        <v>687856.62</v>
      </c>
      <c r="O308" s="460">
        <v>1053706.27</v>
      </c>
      <c r="P308" s="460">
        <v>650089.47</v>
      </c>
      <c r="Q308" s="457">
        <v>626737.91</v>
      </c>
      <c r="S308" s="169"/>
      <c r="T308" s="169"/>
      <c r="U308" s="169"/>
      <c r="V308" s="169"/>
      <c r="W308" s="169"/>
      <c r="X308" s="169"/>
      <c r="Y308" s="169"/>
      <c r="Z308" s="169"/>
      <c r="AA308" s="169"/>
      <c r="AB308" s="169"/>
      <c r="AC308" s="169"/>
      <c r="AD308" s="169"/>
      <c r="AE308" s="169"/>
      <c r="AF308" s="169"/>
      <c r="AG308" s="169"/>
      <c r="AH308" s="169"/>
      <c r="AI308" s="169"/>
      <c r="AJ308" s="169"/>
      <c r="AK308" s="169"/>
      <c r="AL308" s="169"/>
      <c r="AM308" s="169"/>
      <c r="AN308" s="169"/>
      <c r="AO308" s="169"/>
      <c r="AP308" s="169"/>
      <c r="AQ308" s="169"/>
      <c r="AR308" s="169"/>
      <c r="AS308" s="169"/>
      <c r="AT308" s="169"/>
      <c r="AU308" s="169"/>
      <c r="AV308" s="169"/>
      <c r="AW308" s="456"/>
      <c r="AX308" s="456"/>
      <c r="AY308" s="456"/>
      <c r="AZ308" s="456"/>
      <c r="BA308" s="456"/>
      <c r="CV308" s="456"/>
      <c r="CW308" s="456"/>
      <c r="CX308" s="456"/>
      <c r="CY308" s="456"/>
      <c r="CZ308" s="456"/>
      <c r="DA308" s="456"/>
      <c r="DB308" s="456"/>
      <c r="DC308" s="456"/>
      <c r="DD308" s="456"/>
      <c r="DE308" s="456"/>
      <c r="DF308" s="456"/>
      <c r="DG308" s="456"/>
      <c r="DH308" s="456"/>
      <c r="DI308" s="456"/>
      <c r="DJ308" s="456"/>
      <c r="DK308" s="456"/>
      <c r="DL308" s="456"/>
      <c r="DM308" s="456"/>
      <c r="DN308" s="456"/>
      <c r="DO308" s="456"/>
      <c r="DP308" s="456"/>
      <c r="DQ308" s="456"/>
    </row>
    <row r="309" spans="2:121" s="455" customFormat="1" ht="18" hidden="1">
      <c r="B309" s="509" t="s">
        <v>520</v>
      </c>
      <c r="C309" s="509"/>
      <c r="D309" s="387"/>
      <c r="E309" s="387"/>
      <c r="F309" s="387"/>
      <c r="G309" s="387"/>
      <c r="H309" s="739"/>
      <c r="I309" s="739"/>
      <c r="J309" s="739"/>
      <c r="K309" s="460"/>
      <c r="L309" s="460"/>
      <c r="M309" s="460">
        <v>9600</v>
      </c>
      <c r="N309" s="460">
        <v>25123</v>
      </c>
      <c r="O309" s="460"/>
      <c r="P309" s="460">
        <v>33817.28</v>
      </c>
      <c r="Q309" s="457"/>
      <c r="S309" s="169"/>
      <c r="T309" s="169"/>
      <c r="U309" s="169"/>
      <c r="V309" s="169"/>
      <c r="W309" s="169"/>
      <c r="X309" s="169"/>
      <c r="Y309" s="169"/>
      <c r="Z309" s="169"/>
      <c r="AA309" s="169"/>
      <c r="AB309" s="169"/>
      <c r="AC309" s="169"/>
      <c r="AD309" s="169"/>
      <c r="AE309" s="169"/>
      <c r="AF309" s="169"/>
      <c r="AG309" s="169"/>
      <c r="AH309" s="169"/>
      <c r="AI309" s="169"/>
      <c r="AJ309" s="169"/>
      <c r="AK309" s="169"/>
      <c r="AL309" s="169"/>
      <c r="AM309" s="169"/>
      <c r="AN309" s="169"/>
      <c r="AO309" s="169"/>
      <c r="AP309" s="169"/>
      <c r="AQ309" s="169"/>
      <c r="AR309" s="169"/>
      <c r="AS309" s="169"/>
      <c r="AT309" s="169"/>
      <c r="AU309" s="169"/>
      <c r="AV309" s="169"/>
      <c r="AW309" s="456"/>
      <c r="AX309" s="456"/>
      <c r="AY309" s="456"/>
      <c r="AZ309" s="456"/>
      <c r="BA309" s="456"/>
      <c r="CV309" s="456"/>
      <c r="CW309" s="456"/>
      <c r="CX309" s="456"/>
      <c r="CY309" s="456"/>
      <c r="CZ309" s="456"/>
      <c r="DA309" s="456"/>
      <c r="DB309" s="456"/>
      <c r="DC309" s="456"/>
      <c r="DD309" s="456"/>
      <c r="DE309" s="456"/>
      <c r="DF309" s="456"/>
      <c r="DG309" s="456"/>
      <c r="DH309" s="456"/>
      <c r="DI309" s="456"/>
      <c r="DJ309" s="456"/>
      <c r="DK309" s="456"/>
      <c r="DL309" s="456"/>
      <c r="DM309" s="456"/>
      <c r="DN309" s="456"/>
      <c r="DO309" s="456"/>
      <c r="DP309" s="456"/>
      <c r="DQ309" s="456"/>
    </row>
    <row r="310" spans="2:121" s="455" customFormat="1" ht="18.75">
      <c r="B310" s="509" t="s">
        <v>318</v>
      </c>
      <c r="C310" s="509"/>
      <c r="D310" s="387"/>
      <c r="E310" s="387"/>
      <c r="F310" s="387"/>
      <c r="G310" s="387"/>
      <c r="H310" s="739">
        <v>366645.6</v>
      </c>
      <c r="I310" s="739"/>
      <c r="J310" s="739">
        <v>250892.34</v>
      </c>
      <c r="K310" s="460">
        <v>223297.17</v>
      </c>
      <c r="L310" s="460">
        <v>188700.54</v>
      </c>
      <c r="M310" s="460">
        <v>1873012.07</v>
      </c>
      <c r="N310" s="460">
        <v>704029.59</v>
      </c>
      <c r="O310" s="460">
        <v>738320.06</v>
      </c>
      <c r="P310" s="460">
        <v>746187.62</v>
      </c>
      <c r="Q310" s="457">
        <v>2366115.76</v>
      </c>
      <c r="S310" s="169"/>
      <c r="T310" s="506">
        <v>139526.07</v>
      </c>
      <c r="U310" s="506">
        <f>+J310-T310</f>
        <v>111366.26999999999</v>
      </c>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506">
        <f>H310+H311+H312</f>
        <v>508955.6</v>
      </c>
      <c r="AQ310" s="169"/>
      <c r="AR310" s="169"/>
      <c r="AS310" s="169"/>
      <c r="AT310" s="169"/>
      <c r="AU310" s="169"/>
      <c r="AV310" s="169"/>
      <c r="AW310" s="456"/>
      <c r="AX310" s="456"/>
      <c r="AY310" s="456"/>
      <c r="AZ310" s="456"/>
      <c r="BA310" s="456"/>
      <c r="CV310" s="456"/>
      <c r="CW310" s="456"/>
      <c r="CX310" s="456"/>
      <c r="CY310" s="456"/>
      <c r="CZ310" s="456"/>
      <c r="DA310" s="456"/>
      <c r="DB310" s="456"/>
      <c r="DC310" s="456"/>
      <c r="DD310" s="456"/>
      <c r="DE310" s="456"/>
      <c r="DF310" s="456"/>
      <c r="DG310" s="456"/>
      <c r="DH310" s="456"/>
      <c r="DI310" s="456"/>
      <c r="DJ310" s="456"/>
      <c r="DK310" s="456"/>
      <c r="DL310" s="456"/>
      <c r="DM310" s="456"/>
      <c r="DN310" s="456"/>
      <c r="DO310" s="456"/>
      <c r="DP310" s="456"/>
      <c r="DQ310" s="456"/>
    </row>
    <row r="311" spans="2:121" s="455" customFormat="1" ht="18.75">
      <c r="B311" s="509" t="s">
        <v>319</v>
      </c>
      <c r="C311" s="509"/>
      <c r="D311" s="387"/>
      <c r="E311" s="387"/>
      <c r="F311" s="387"/>
      <c r="G311" s="387"/>
      <c r="H311" s="739">
        <v>35000</v>
      </c>
      <c r="I311" s="739"/>
      <c r="J311" s="739">
        <v>36186</v>
      </c>
      <c r="K311" s="460">
        <v>12000</v>
      </c>
      <c r="L311" s="460"/>
      <c r="M311" s="460"/>
      <c r="N311" s="460"/>
      <c r="O311" s="460">
        <v>47490.43</v>
      </c>
      <c r="P311" s="460"/>
      <c r="Q311" s="457">
        <v>400</v>
      </c>
      <c r="S311" s="169"/>
      <c r="T311" s="506">
        <v>33100</v>
      </c>
      <c r="U311" s="506">
        <f>+J311-T311</f>
        <v>3086</v>
      </c>
      <c r="V311" s="202">
        <v>3186</v>
      </c>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456"/>
      <c r="AX311" s="456"/>
      <c r="AY311" s="456"/>
      <c r="AZ311" s="456"/>
      <c r="BA311" s="456"/>
      <c r="CV311" s="456"/>
      <c r="CW311" s="456"/>
      <c r="CX311" s="456"/>
      <c r="CY311" s="456"/>
      <c r="CZ311" s="456"/>
      <c r="DA311" s="456"/>
      <c r="DB311" s="456"/>
      <c r="DC311" s="456"/>
      <c r="DD311" s="456"/>
      <c r="DE311" s="456"/>
      <c r="DF311" s="456"/>
      <c r="DG311" s="456"/>
      <c r="DH311" s="456"/>
      <c r="DI311" s="456"/>
      <c r="DJ311" s="456"/>
      <c r="DK311" s="456"/>
      <c r="DL311" s="456"/>
      <c r="DM311" s="456"/>
      <c r="DN311" s="456"/>
      <c r="DO311" s="456"/>
      <c r="DP311" s="456"/>
      <c r="DQ311" s="456"/>
    </row>
    <row r="312" spans="2:121" s="455" customFormat="1" ht="18.75">
      <c r="B312" s="509" t="s">
        <v>320</v>
      </c>
      <c r="C312" s="509"/>
      <c r="D312" s="387"/>
      <c r="E312" s="387"/>
      <c r="F312" s="387"/>
      <c r="G312" s="387"/>
      <c r="H312" s="739">
        <v>107310</v>
      </c>
      <c r="I312" s="739"/>
      <c r="J312" s="739">
        <v>82140</v>
      </c>
      <c r="K312" s="460">
        <v>67497</v>
      </c>
      <c r="L312" s="460">
        <v>22660</v>
      </c>
      <c r="M312" s="460">
        <v>37267</v>
      </c>
      <c r="N312" s="460">
        <v>45485</v>
      </c>
      <c r="O312" s="460">
        <v>17835</v>
      </c>
      <c r="P312" s="460">
        <v>32825</v>
      </c>
      <c r="Q312" s="457">
        <v>14077</v>
      </c>
      <c r="S312" s="169"/>
      <c r="T312" s="506">
        <v>84291.83</v>
      </c>
      <c r="U312" s="506">
        <f>+T312-J312</f>
        <v>2151.8300000000017</v>
      </c>
      <c r="V312" s="202">
        <v>240</v>
      </c>
      <c r="W312" s="169"/>
      <c r="X312" s="169"/>
      <c r="Y312" s="169"/>
      <c r="Z312" s="169"/>
      <c r="AA312" s="169"/>
      <c r="AB312" s="169"/>
      <c r="AC312" s="169"/>
      <c r="AD312" s="169"/>
      <c r="AE312" s="169"/>
      <c r="AF312" s="169"/>
      <c r="AG312" s="169"/>
      <c r="AH312" s="169"/>
      <c r="AI312" s="169"/>
      <c r="AJ312" s="169"/>
      <c r="AK312" s="169"/>
      <c r="AL312" s="169"/>
      <c r="AM312" s="169"/>
      <c r="AN312" s="169"/>
      <c r="AO312" s="169"/>
      <c r="AP312" s="169"/>
      <c r="AQ312" s="169"/>
      <c r="AR312" s="169"/>
      <c r="AS312" s="169"/>
      <c r="AT312" s="169"/>
      <c r="AU312" s="169"/>
      <c r="AV312" s="169"/>
      <c r="AW312" s="456"/>
      <c r="AX312" s="456"/>
      <c r="AY312" s="456"/>
      <c r="AZ312" s="456"/>
      <c r="BA312" s="456"/>
      <c r="CV312" s="456"/>
      <c r="CW312" s="456"/>
      <c r="CX312" s="456"/>
      <c r="CY312" s="456"/>
      <c r="CZ312" s="456"/>
      <c r="DA312" s="456"/>
      <c r="DB312" s="456"/>
      <c r="DC312" s="456"/>
      <c r="DD312" s="456"/>
      <c r="DE312" s="456"/>
      <c r="DF312" s="456"/>
      <c r="DG312" s="456"/>
      <c r="DH312" s="456"/>
      <c r="DI312" s="456"/>
      <c r="DJ312" s="456"/>
      <c r="DK312" s="456"/>
      <c r="DL312" s="456"/>
      <c r="DM312" s="456"/>
      <c r="DN312" s="456"/>
      <c r="DO312" s="456"/>
      <c r="DP312" s="456"/>
      <c r="DQ312" s="456"/>
    </row>
    <row r="313" spans="2:121" s="455" customFormat="1" ht="18.75">
      <c r="B313" s="511" t="s">
        <v>321</v>
      </c>
      <c r="C313" s="511"/>
      <c r="D313" s="31"/>
      <c r="E313" s="31"/>
      <c r="F313" s="31"/>
      <c r="G313" s="31"/>
      <c r="H313" s="739">
        <v>334156.69</v>
      </c>
      <c r="I313" s="739"/>
      <c r="J313" s="721">
        <v>673066.68</v>
      </c>
      <c r="K313" s="460">
        <v>607066.68</v>
      </c>
      <c r="L313" s="460">
        <v>579511.13</v>
      </c>
      <c r="M313" s="460">
        <v>272711.12</v>
      </c>
      <c r="N313" s="460">
        <v>613600.02</v>
      </c>
      <c r="O313" s="460">
        <v>248428.84</v>
      </c>
      <c r="P313" s="460">
        <v>545422.24</v>
      </c>
      <c r="Q313" s="457">
        <v>75699</v>
      </c>
      <c r="S313" s="169"/>
      <c r="T313" s="169"/>
      <c r="U313" s="169"/>
      <c r="V313" s="169"/>
      <c r="W313" s="169"/>
      <c r="X313" s="169"/>
      <c r="Y313" s="169"/>
      <c r="Z313" s="169"/>
      <c r="AA313" s="169"/>
      <c r="AB313" s="169"/>
      <c r="AC313" s="169"/>
      <c r="AD313" s="169"/>
      <c r="AE313" s="169"/>
      <c r="AF313" s="169"/>
      <c r="AG313" s="169"/>
      <c r="AH313" s="169"/>
      <c r="AI313" s="169"/>
      <c r="AJ313" s="169"/>
      <c r="AK313" s="169"/>
      <c r="AL313" s="169"/>
      <c r="AM313" s="169"/>
      <c r="AN313" s="169"/>
      <c r="AO313" s="169"/>
      <c r="AP313" s="506">
        <f>H313+H319</f>
        <v>1120872.47</v>
      </c>
      <c r="AQ313" s="169"/>
      <c r="AR313" s="169"/>
      <c r="AS313" s="169"/>
      <c r="AT313" s="169"/>
      <c r="AU313" s="169"/>
      <c r="AV313" s="169"/>
      <c r="AW313" s="456"/>
      <c r="AX313" s="456"/>
      <c r="AY313" s="456"/>
      <c r="AZ313" s="456"/>
      <c r="BA313" s="456"/>
      <c r="CV313" s="456"/>
      <c r="CW313" s="456"/>
      <c r="CX313" s="456"/>
      <c r="CY313" s="456"/>
      <c r="CZ313" s="456"/>
      <c r="DA313" s="456"/>
      <c r="DB313" s="456"/>
      <c r="DC313" s="456"/>
      <c r="DD313" s="456"/>
      <c r="DE313" s="456"/>
      <c r="DF313" s="456"/>
      <c r="DG313" s="456"/>
      <c r="DH313" s="456"/>
      <c r="DI313" s="456"/>
      <c r="DJ313" s="456"/>
      <c r="DK313" s="456"/>
      <c r="DL313" s="456"/>
      <c r="DM313" s="456"/>
      <c r="DN313" s="456"/>
      <c r="DO313" s="456"/>
      <c r="DP313" s="456"/>
      <c r="DQ313" s="456"/>
    </row>
    <row r="314" spans="2:121" s="455" customFormat="1" ht="18.75">
      <c r="B314" s="511" t="s">
        <v>830</v>
      </c>
      <c r="C314" s="638"/>
      <c r="D314" s="639"/>
      <c r="E314" s="639"/>
      <c r="F314" s="639"/>
      <c r="G314" s="639"/>
      <c r="H314" s="739">
        <v>58217.6</v>
      </c>
      <c r="I314" s="739"/>
      <c r="J314" s="721">
        <v>26019</v>
      </c>
      <c r="K314" s="460"/>
      <c r="L314" s="460"/>
      <c r="M314" s="460"/>
      <c r="N314" s="460"/>
      <c r="O314" s="460"/>
      <c r="P314" s="460"/>
      <c r="Q314" s="457"/>
      <c r="S314" s="169"/>
      <c r="T314" s="169"/>
      <c r="U314" s="169"/>
      <c r="V314" s="169"/>
      <c r="W314" s="169"/>
      <c r="X314" s="169"/>
      <c r="Y314" s="169"/>
      <c r="Z314" s="169"/>
      <c r="AA314" s="169"/>
      <c r="AB314" s="169"/>
      <c r="AC314" s="169"/>
      <c r="AD314" s="169"/>
      <c r="AE314" s="169"/>
      <c r="AF314" s="169"/>
      <c r="AG314" s="169"/>
      <c r="AH314" s="169"/>
      <c r="AI314" s="169"/>
      <c r="AJ314" s="169"/>
      <c r="AK314" s="169"/>
      <c r="AL314" s="169"/>
      <c r="AM314" s="169"/>
      <c r="AN314" s="169"/>
      <c r="AO314" s="169"/>
      <c r="AP314" s="169"/>
      <c r="AQ314" s="169"/>
      <c r="AR314" s="169"/>
      <c r="AS314" s="169"/>
      <c r="AT314" s="169"/>
      <c r="AU314" s="169"/>
      <c r="AV314" s="169"/>
      <c r="AW314" s="456"/>
      <c r="AX314" s="456"/>
      <c r="AY314" s="456"/>
      <c r="AZ314" s="456"/>
      <c r="BA314" s="456"/>
      <c r="CV314" s="456"/>
      <c r="CW314" s="456"/>
      <c r="CX314" s="456"/>
      <c r="CY314" s="456"/>
      <c r="CZ314" s="456"/>
      <c r="DA314" s="456"/>
      <c r="DB314" s="456"/>
      <c r="DC314" s="456"/>
      <c r="DD314" s="456"/>
      <c r="DE314" s="456"/>
      <c r="DF314" s="456"/>
      <c r="DG314" s="456"/>
      <c r="DH314" s="456"/>
      <c r="DI314" s="456"/>
      <c r="DJ314" s="456"/>
      <c r="DK314" s="456"/>
      <c r="DL314" s="456"/>
      <c r="DM314" s="456"/>
      <c r="DN314" s="456"/>
      <c r="DO314" s="456"/>
      <c r="DP314" s="456"/>
      <c r="DQ314" s="456"/>
    </row>
    <row r="315" spans="2:121" s="455" customFormat="1" ht="18" hidden="1">
      <c r="B315" s="511" t="s">
        <v>322</v>
      </c>
      <c r="C315" s="511"/>
      <c r="D315" s="31"/>
      <c r="E315" s="31"/>
      <c r="F315" s="31"/>
      <c r="G315" s="31"/>
      <c r="H315" s="739"/>
      <c r="I315" s="739"/>
      <c r="J315" s="721"/>
      <c r="K315" s="460"/>
      <c r="L315" s="460"/>
      <c r="M315" s="460"/>
      <c r="N315" s="460"/>
      <c r="O315" s="460"/>
      <c r="P315" s="460"/>
      <c r="Q315" s="457">
        <v>22962.7</v>
      </c>
      <c r="S315" s="169"/>
      <c r="T315" s="169"/>
      <c r="U315" s="169"/>
      <c r="V315" s="169"/>
      <c r="W315" s="169"/>
      <c r="X315" s="169"/>
      <c r="Y315" s="169"/>
      <c r="Z315" s="169"/>
      <c r="AA315" s="169"/>
      <c r="AB315" s="169"/>
      <c r="AC315" s="169"/>
      <c r="AD315" s="169"/>
      <c r="AE315" s="169"/>
      <c r="AF315" s="169"/>
      <c r="AG315" s="169"/>
      <c r="AH315" s="169"/>
      <c r="AI315" s="169"/>
      <c r="AJ315" s="169"/>
      <c r="AK315" s="169"/>
      <c r="AL315" s="169"/>
      <c r="AM315" s="169"/>
      <c r="AN315" s="169"/>
      <c r="AO315" s="169"/>
      <c r="AP315" s="169"/>
      <c r="AQ315" s="169"/>
      <c r="AR315" s="169"/>
      <c r="AS315" s="169"/>
      <c r="AT315" s="169"/>
      <c r="AU315" s="169"/>
      <c r="AV315" s="169"/>
      <c r="AW315" s="456"/>
      <c r="AX315" s="456"/>
      <c r="AY315" s="456"/>
      <c r="AZ315" s="456"/>
      <c r="BA315" s="456"/>
      <c r="CV315" s="456"/>
      <c r="CW315" s="456"/>
      <c r="CX315" s="456"/>
      <c r="CY315" s="456"/>
      <c r="CZ315" s="456"/>
      <c r="DA315" s="456"/>
      <c r="DB315" s="456"/>
      <c r="DC315" s="456"/>
      <c r="DD315" s="456"/>
      <c r="DE315" s="456"/>
      <c r="DF315" s="456"/>
      <c r="DG315" s="456"/>
      <c r="DH315" s="456"/>
      <c r="DI315" s="456"/>
      <c r="DJ315" s="456"/>
      <c r="DK315" s="456"/>
      <c r="DL315" s="456"/>
      <c r="DM315" s="456"/>
      <c r="DN315" s="456"/>
      <c r="DO315" s="456"/>
      <c r="DP315" s="456"/>
      <c r="DQ315" s="456"/>
    </row>
    <row r="316" spans="2:121" s="455" customFormat="1" ht="18" hidden="1">
      <c r="B316" s="511" t="s">
        <v>323</v>
      </c>
      <c r="C316" s="511"/>
      <c r="D316" s="31"/>
      <c r="E316" s="31"/>
      <c r="F316" s="31"/>
      <c r="G316" s="31"/>
      <c r="H316" s="739"/>
      <c r="I316" s="739"/>
      <c r="J316" s="721"/>
      <c r="K316" s="460"/>
      <c r="L316" s="460"/>
      <c r="M316" s="460"/>
      <c r="N316" s="460"/>
      <c r="O316" s="460"/>
      <c r="P316" s="460"/>
      <c r="Q316" s="457"/>
      <c r="S316" s="169"/>
      <c r="T316" s="169"/>
      <c r="U316" s="169"/>
      <c r="V316" s="169"/>
      <c r="W316" s="169"/>
      <c r="X316" s="169"/>
      <c r="Y316" s="169"/>
      <c r="Z316" s="169"/>
      <c r="AA316" s="169"/>
      <c r="AB316" s="169"/>
      <c r="AC316" s="169"/>
      <c r="AD316" s="169"/>
      <c r="AE316" s="169"/>
      <c r="AF316" s="169"/>
      <c r="AG316" s="169"/>
      <c r="AH316" s="169"/>
      <c r="AI316" s="169"/>
      <c r="AJ316" s="169"/>
      <c r="AK316" s="169"/>
      <c r="AL316" s="169"/>
      <c r="AM316" s="169"/>
      <c r="AN316" s="169"/>
      <c r="AO316" s="169"/>
      <c r="AP316" s="169"/>
      <c r="AQ316" s="169"/>
      <c r="AR316" s="169"/>
      <c r="AS316" s="169"/>
      <c r="AT316" s="169"/>
      <c r="AU316" s="169"/>
      <c r="AV316" s="169"/>
      <c r="AW316" s="456"/>
      <c r="AX316" s="456"/>
      <c r="AY316" s="456"/>
      <c r="AZ316" s="456"/>
      <c r="BA316" s="456"/>
      <c r="CV316" s="456"/>
      <c r="CW316" s="456"/>
      <c r="CX316" s="456"/>
      <c r="CY316" s="456"/>
      <c r="CZ316" s="456"/>
      <c r="DA316" s="456"/>
      <c r="DB316" s="456"/>
      <c r="DC316" s="456"/>
      <c r="DD316" s="456"/>
      <c r="DE316" s="456"/>
      <c r="DF316" s="456"/>
      <c r="DG316" s="456"/>
      <c r="DH316" s="456"/>
      <c r="DI316" s="456"/>
      <c r="DJ316" s="456"/>
      <c r="DK316" s="456"/>
      <c r="DL316" s="456"/>
      <c r="DM316" s="456"/>
      <c r="DN316" s="456"/>
      <c r="DO316" s="456"/>
      <c r="DP316" s="456"/>
      <c r="DQ316" s="456"/>
    </row>
    <row r="317" spans="2:121" s="455" customFormat="1" ht="18" hidden="1">
      <c r="B317" s="511" t="s">
        <v>324</v>
      </c>
      <c r="C317" s="511"/>
      <c r="D317" s="31"/>
      <c r="E317" s="31"/>
      <c r="F317" s="31"/>
      <c r="G317" s="31"/>
      <c r="H317" s="739"/>
      <c r="I317" s="739"/>
      <c r="J317" s="721"/>
      <c r="K317" s="460"/>
      <c r="L317" s="460"/>
      <c r="M317" s="460"/>
      <c r="N317" s="460"/>
      <c r="O317" s="460">
        <v>312000</v>
      </c>
      <c r="P317" s="460">
        <v>3532</v>
      </c>
      <c r="Q317" s="457">
        <v>5280.68</v>
      </c>
      <c r="S317" s="169"/>
      <c r="T317" s="169"/>
      <c r="U317" s="169"/>
      <c r="V317" s="169"/>
      <c r="W317" s="169"/>
      <c r="X317" s="169"/>
      <c r="Y317" s="169"/>
      <c r="Z317" s="169"/>
      <c r="AA317" s="169"/>
      <c r="AB317" s="169"/>
      <c r="AC317" s="169"/>
      <c r="AD317" s="169"/>
      <c r="AE317" s="169"/>
      <c r="AF317" s="169"/>
      <c r="AG317" s="169"/>
      <c r="AH317" s="169"/>
      <c r="AI317" s="169"/>
      <c r="AJ317" s="169"/>
      <c r="AK317" s="169"/>
      <c r="AL317" s="169"/>
      <c r="AM317" s="169"/>
      <c r="AN317" s="169"/>
      <c r="AO317" s="169"/>
      <c r="AP317" s="169"/>
      <c r="AQ317" s="169"/>
      <c r="AR317" s="169"/>
      <c r="AS317" s="169"/>
      <c r="AT317" s="169"/>
      <c r="AU317" s="169"/>
      <c r="AV317" s="169"/>
      <c r="AW317" s="456"/>
      <c r="AX317" s="456"/>
      <c r="AY317" s="456"/>
      <c r="AZ317" s="456"/>
      <c r="BA317" s="456"/>
      <c r="CV317" s="456"/>
      <c r="CW317" s="456"/>
      <c r="CX317" s="456"/>
      <c r="CY317" s="456"/>
      <c r="CZ317" s="456"/>
      <c r="DA317" s="456"/>
      <c r="DB317" s="456"/>
      <c r="DC317" s="456"/>
      <c r="DD317" s="456"/>
      <c r="DE317" s="456"/>
      <c r="DF317" s="456"/>
      <c r="DG317" s="456"/>
      <c r="DH317" s="456"/>
      <c r="DI317" s="456"/>
      <c r="DJ317" s="456"/>
      <c r="DK317" s="456"/>
      <c r="DL317" s="456"/>
      <c r="DM317" s="456"/>
      <c r="DN317" s="456"/>
      <c r="DO317" s="456"/>
      <c r="DP317" s="456"/>
      <c r="DQ317" s="456"/>
    </row>
    <row r="318" spans="2:121" s="455" customFormat="1" ht="18" hidden="1">
      <c r="B318" s="511" t="s">
        <v>325</v>
      </c>
      <c r="C318" s="511"/>
      <c r="D318" s="31"/>
      <c r="E318" s="31"/>
      <c r="F318" s="31"/>
      <c r="G318" s="31"/>
      <c r="H318" s="739"/>
      <c r="I318" s="739"/>
      <c r="J318" s="721"/>
      <c r="K318" s="460"/>
      <c r="L318" s="460"/>
      <c r="M318" s="460"/>
      <c r="N318" s="460"/>
      <c r="O318" s="460">
        <v>602388.47</v>
      </c>
      <c r="P318" s="460"/>
      <c r="Q318" s="457">
        <v>479554.17</v>
      </c>
      <c r="S318" s="169"/>
      <c r="T318" s="169"/>
      <c r="U318" s="169"/>
      <c r="V318" s="169"/>
      <c r="W318" s="169"/>
      <c r="X318" s="169"/>
      <c r="Y318" s="169"/>
      <c r="Z318" s="169"/>
      <c r="AA318" s="169"/>
      <c r="AB318" s="169"/>
      <c r="AC318" s="169"/>
      <c r="AD318" s="169"/>
      <c r="AE318" s="169"/>
      <c r="AF318" s="169"/>
      <c r="AG318" s="169"/>
      <c r="AH318" s="169"/>
      <c r="AI318" s="169"/>
      <c r="AJ318" s="169"/>
      <c r="AK318" s="169"/>
      <c r="AL318" s="169"/>
      <c r="AM318" s="169"/>
      <c r="AN318" s="169"/>
      <c r="AO318" s="169"/>
      <c r="AP318" s="169"/>
      <c r="AQ318" s="169"/>
      <c r="AR318" s="169"/>
      <c r="AS318" s="169"/>
      <c r="AT318" s="169"/>
      <c r="AU318" s="169"/>
      <c r="AV318" s="169"/>
      <c r="AW318" s="456"/>
      <c r="AX318" s="456"/>
      <c r="AY318" s="456"/>
      <c r="AZ318" s="456"/>
      <c r="BA318" s="456"/>
      <c r="CV318" s="456"/>
      <c r="CW318" s="456"/>
      <c r="CX318" s="456"/>
      <c r="CY318" s="456"/>
      <c r="CZ318" s="456"/>
      <c r="DA318" s="456"/>
      <c r="DB318" s="456"/>
      <c r="DC318" s="456"/>
      <c r="DD318" s="456"/>
      <c r="DE318" s="456"/>
      <c r="DF318" s="456"/>
      <c r="DG318" s="456"/>
      <c r="DH318" s="456"/>
      <c r="DI318" s="456"/>
      <c r="DJ318" s="456"/>
      <c r="DK318" s="456"/>
      <c r="DL318" s="456"/>
      <c r="DM318" s="456"/>
      <c r="DN318" s="456"/>
      <c r="DO318" s="456"/>
      <c r="DP318" s="456"/>
      <c r="DQ318" s="456"/>
    </row>
    <row r="319" spans="2:121" s="455" customFormat="1" ht="18.75">
      <c r="B319" s="511" t="s">
        <v>326</v>
      </c>
      <c r="C319" s="511"/>
      <c r="D319" s="31"/>
      <c r="E319" s="31"/>
      <c r="F319" s="31"/>
      <c r="G319" s="31"/>
      <c r="H319" s="739">
        <v>786715.78</v>
      </c>
      <c r="I319" s="739"/>
      <c r="J319" s="721">
        <v>210833.96</v>
      </c>
      <c r="K319" s="460">
        <v>166625.4</v>
      </c>
      <c r="L319" s="460">
        <v>153573.86</v>
      </c>
      <c r="M319" s="460">
        <v>199925.4</v>
      </c>
      <c r="N319" s="460">
        <v>10164</v>
      </c>
      <c r="O319" s="460">
        <v>102216.3</v>
      </c>
      <c r="P319" s="460"/>
      <c r="Q319" s="457">
        <v>106868</v>
      </c>
      <c r="S319" s="169"/>
      <c r="T319" s="169"/>
      <c r="U319" s="169"/>
      <c r="V319" s="169"/>
      <c r="W319" s="169"/>
      <c r="X319" s="169"/>
      <c r="Y319" s="169"/>
      <c r="Z319" s="169"/>
      <c r="AA319" s="169"/>
      <c r="AB319" s="169"/>
      <c r="AC319" s="169"/>
      <c r="AD319" s="169"/>
      <c r="AE319" s="169"/>
      <c r="AF319" s="169"/>
      <c r="AG319" s="169"/>
      <c r="AH319" s="169"/>
      <c r="AI319" s="169"/>
      <c r="AJ319" s="169"/>
      <c r="AK319" s="169"/>
      <c r="AL319" s="169"/>
      <c r="AM319" s="169"/>
      <c r="AN319" s="169"/>
      <c r="AO319" s="169"/>
      <c r="AP319" s="169"/>
      <c r="AQ319" s="169"/>
      <c r="AR319" s="169"/>
      <c r="AS319" s="169"/>
      <c r="AT319" s="169"/>
      <c r="AU319" s="169"/>
      <c r="AV319" s="169"/>
      <c r="AW319" s="456"/>
      <c r="AX319" s="456"/>
      <c r="AY319" s="456"/>
      <c r="AZ319" s="456"/>
      <c r="BA319" s="456"/>
      <c r="CV319" s="456"/>
      <c r="CW319" s="456"/>
      <c r="CX319" s="456"/>
      <c r="CY319" s="456"/>
      <c r="CZ319" s="456"/>
      <c r="DA319" s="456"/>
      <c r="DB319" s="456"/>
      <c r="DC319" s="456"/>
      <c r="DD319" s="456"/>
      <c r="DE319" s="456"/>
      <c r="DF319" s="456"/>
      <c r="DG319" s="456"/>
      <c r="DH319" s="456"/>
      <c r="DI319" s="456"/>
      <c r="DJ319" s="456"/>
      <c r="DK319" s="456"/>
      <c r="DL319" s="456"/>
      <c r="DM319" s="456"/>
      <c r="DN319" s="456"/>
      <c r="DO319" s="456"/>
      <c r="DP319" s="456"/>
      <c r="DQ319" s="456"/>
    </row>
    <row r="320" spans="2:121" s="455" customFormat="1" ht="18" hidden="1">
      <c r="B320" s="511" t="s">
        <v>327</v>
      </c>
      <c r="C320" s="511"/>
      <c r="D320" s="31"/>
      <c r="E320" s="31"/>
      <c r="F320" s="31"/>
      <c r="G320" s="31"/>
      <c r="H320" s="739"/>
      <c r="I320" s="739"/>
      <c r="J320" s="721"/>
      <c r="K320" s="460"/>
      <c r="L320" s="460"/>
      <c r="M320" s="460"/>
      <c r="N320" s="460"/>
      <c r="O320" s="460"/>
      <c r="P320" s="460"/>
      <c r="Q320" s="457"/>
      <c r="S320" s="169"/>
      <c r="T320" s="169"/>
      <c r="U320" s="169"/>
      <c r="V320" s="169"/>
      <c r="W320" s="169"/>
      <c r="X320" s="169"/>
      <c r="Y320" s="169"/>
      <c r="Z320" s="169"/>
      <c r="AA320" s="169"/>
      <c r="AB320" s="169"/>
      <c r="AC320" s="169"/>
      <c r="AD320" s="169"/>
      <c r="AE320" s="169"/>
      <c r="AF320" s="169"/>
      <c r="AG320" s="169"/>
      <c r="AH320" s="169"/>
      <c r="AI320" s="169"/>
      <c r="AJ320" s="169"/>
      <c r="AK320" s="169"/>
      <c r="AL320" s="169"/>
      <c r="AM320" s="169"/>
      <c r="AN320" s="169"/>
      <c r="AO320" s="169"/>
      <c r="AP320" s="169"/>
      <c r="AQ320" s="169"/>
      <c r="AR320" s="169"/>
      <c r="AS320" s="169"/>
      <c r="AT320" s="169"/>
      <c r="AU320" s="169"/>
      <c r="AV320" s="169"/>
      <c r="AW320" s="456"/>
      <c r="AX320" s="456"/>
      <c r="AY320" s="456"/>
      <c r="AZ320" s="456"/>
      <c r="BA320" s="456"/>
      <c r="CV320" s="456"/>
      <c r="CW320" s="456"/>
      <c r="CX320" s="456"/>
      <c r="CY320" s="456"/>
      <c r="CZ320" s="456"/>
      <c r="DA320" s="456"/>
      <c r="DB320" s="456"/>
      <c r="DC320" s="456"/>
      <c r="DD320" s="456"/>
      <c r="DE320" s="456"/>
      <c r="DF320" s="456"/>
      <c r="DG320" s="456"/>
      <c r="DH320" s="456"/>
      <c r="DI320" s="456"/>
      <c r="DJ320" s="456"/>
      <c r="DK320" s="456"/>
      <c r="DL320" s="456"/>
      <c r="DM320" s="456"/>
      <c r="DN320" s="456"/>
      <c r="DO320" s="456"/>
      <c r="DP320" s="456"/>
      <c r="DQ320" s="456"/>
    </row>
    <row r="321" spans="2:121" s="455" customFormat="1" ht="18.75">
      <c r="B321" s="511" t="s">
        <v>328</v>
      </c>
      <c r="C321" s="511"/>
      <c r="D321" s="31"/>
      <c r="E321" s="31"/>
      <c r="F321" s="31"/>
      <c r="G321" s="31"/>
      <c r="H321" s="739">
        <v>869074.82</v>
      </c>
      <c r="I321" s="739"/>
      <c r="J321" s="721">
        <v>898513.51</v>
      </c>
      <c r="K321" s="460">
        <v>898338.58</v>
      </c>
      <c r="L321" s="460">
        <v>897131.53</v>
      </c>
      <c r="M321" s="460">
        <v>953124.67</v>
      </c>
      <c r="N321" s="460">
        <v>910950.49</v>
      </c>
      <c r="O321" s="460">
        <v>679232.52</v>
      </c>
      <c r="P321" s="460">
        <v>884382.48</v>
      </c>
      <c r="Q321" s="457">
        <v>886401.68</v>
      </c>
      <c r="S321" s="169"/>
      <c r="T321" s="169"/>
      <c r="U321" s="169"/>
      <c r="V321" s="169"/>
      <c r="W321" s="169"/>
      <c r="X321" s="169"/>
      <c r="Y321" s="169"/>
      <c r="Z321" s="169"/>
      <c r="AA321" s="169"/>
      <c r="AB321" s="169"/>
      <c r="AC321" s="169"/>
      <c r="AD321" s="169"/>
      <c r="AE321" s="169"/>
      <c r="AF321" s="169"/>
      <c r="AG321" s="169"/>
      <c r="AH321" s="169"/>
      <c r="AI321" s="169"/>
      <c r="AJ321" s="169"/>
      <c r="AK321" s="169"/>
      <c r="AL321" s="169"/>
      <c r="AM321" s="169"/>
      <c r="AN321" s="169"/>
      <c r="AO321" s="169"/>
      <c r="AP321" s="506">
        <f>H321+H322+H323+H324</f>
        <v>4821386.57</v>
      </c>
      <c r="AQ321" s="169"/>
      <c r="AR321" s="169"/>
      <c r="AS321" s="169"/>
      <c r="AT321" s="169"/>
      <c r="AU321" s="169"/>
      <c r="AV321" s="169"/>
      <c r="AW321" s="456"/>
      <c r="AX321" s="456"/>
      <c r="AY321" s="456"/>
      <c r="AZ321" s="456"/>
      <c r="BA321" s="456"/>
      <c r="CV321" s="456"/>
      <c r="CW321" s="456"/>
      <c r="CX321" s="456"/>
      <c r="CY321" s="456"/>
      <c r="CZ321" s="456"/>
      <c r="DA321" s="456"/>
      <c r="DB321" s="456"/>
      <c r="DC321" s="456"/>
      <c r="DD321" s="456"/>
      <c r="DE321" s="456"/>
      <c r="DF321" s="456"/>
      <c r="DG321" s="456"/>
      <c r="DH321" s="456"/>
      <c r="DI321" s="456"/>
      <c r="DJ321" s="456"/>
      <c r="DK321" s="456"/>
      <c r="DL321" s="456"/>
      <c r="DM321" s="456"/>
      <c r="DN321" s="456"/>
      <c r="DO321" s="456"/>
      <c r="DP321" s="456"/>
      <c r="DQ321" s="456"/>
    </row>
    <row r="322" spans="2:121" s="455" customFormat="1" ht="18.75">
      <c r="B322" s="511" t="s">
        <v>329</v>
      </c>
      <c r="C322" s="511"/>
      <c r="D322" s="31"/>
      <c r="E322" s="31"/>
      <c r="F322" s="31"/>
      <c r="G322" s="31"/>
      <c r="H322" s="739">
        <v>1095741.58</v>
      </c>
      <c r="I322" s="739"/>
      <c r="J322" s="721">
        <v>836571.63</v>
      </c>
      <c r="K322" s="460">
        <v>728902.12</v>
      </c>
      <c r="L322" s="460">
        <v>727211.34</v>
      </c>
      <c r="M322" s="460">
        <v>741335.17</v>
      </c>
      <c r="N322" s="460">
        <v>627545.28</v>
      </c>
      <c r="O322" s="460">
        <v>560586.2</v>
      </c>
      <c r="P322" s="460">
        <v>494739.78</v>
      </c>
      <c r="Q322" s="457">
        <v>418215.3</v>
      </c>
      <c r="S322" s="169"/>
      <c r="T322" s="169"/>
      <c r="U322" s="169"/>
      <c r="V322" s="169"/>
      <c r="W322" s="169"/>
      <c r="X322" s="169"/>
      <c r="Y322" s="169"/>
      <c r="Z322" s="169"/>
      <c r="AA322" s="169"/>
      <c r="AB322" s="169"/>
      <c r="AC322" s="169"/>
      <c r="AD322" s="169"/>
      <c r="AE322" s="169"/>
      <c r="AF322" s="169"/>
      <c r="AG322" s="169"/>
      <c r="AH322" s="169"/>
      <c r="AI322" s="169"/>
      <c r="AJ322" s="169"/>
      <c r="AK322" s="169"/>
      <c r="AL322" s="169"/>
      <c r="AM322" s="169"/>
      <c r="AN322" s="169"/>
      <c r="AO322" s="169"/>
      <c r="AP322" s="169"/>
      <c r="AQ322" s="169"/>
      <c r="AR322" s="169"/>
      <c r="AS322" s="169"/>
      <c r="AT322" s="169"/>
      <c r="AU322" s="169"/>
      <c r="AV322" s="169"/>
      <c r="AW322" s="456"/>
      <c r="AX322" s="456"/>
      <c r="AY322" s="456"/>
      <c r="AZ322" s="456"/>
      <c r="BA322" s="456"/>
      <c r="CV322" s="456"/>
      <c r="CW322" s="456"/>
      <c r="CX322" s="456"/>
      <c r="CY322" s="456"/>
      <c r="CZ322" s="456"/>
      <c r="DA322" s="456"/>
      <c r="DB322" s="456"/>
      <c r="DC322" s="456"/>
      <c r="DD322" s="456"/>
      <c r="DE322" s="456"/>
      <c r="DF322" s="456"/>
      <c r="DG322" s="456"/>
      <c r="DH322" s="456"/>
      <c r="DI322" s="456"/>
      <c r="DJ322" s="456"/>
      <c r="DK322" s="456"/>
      <c r="DL322" s="456"/>
      <c r="DM322" s="456"/>
      <c r="DN322" s="456"/>
      <c r="DO322" s="456"/>
      <c r="DP322" s="456"/>
      <c r="DQ322" s="456"/>
    </row>
    <row r="323" spans="1:121" s="455" customFormat="1" ht="18.75">
      <c r="A323" s="89"/>
      <c r="B323" s="511" t="s">
        <v>330</v>
      </c>
      <c r="C323" s="511"/>
      <c r="D323" s="31"/>
      <c r="E323" s="31"/>
      <c r="F323" s="31"/>
      <c r="G323" s="31"/>
      <c r="H323" s="739">
        <v>2821635.51</v>
      </c>
      <c r="I323" s="739"/>
      <c r="J323" s="721">
        <v>2512815.85</v>
      </c>
      <c r="K323" s="460">
        <v>2153382.69</v>
      </c>
      <c r="L323" s="460">
        <v>1866290.4</v>
      </c>
      <c r="M323" s="460">
        <v>1293357.91</v>
      </c>
      <c r="N323" s="460">
        <v>11579.64</v>
      </c>
      <c r="O323" s="460">
        <v>11579.76</v>
      </c>
      <c r="P323" s="460">
        <v>12544.72</v>
      </c>
      <c r="Q323" s="457">
        <v>15366.56</v>
      </c>
      <c r="R323" s="170">
        <f>+M323-N323</f>
        <v>1281778.27</v>
      </c>
      <c r="S323" s="169"/>
      <c r="T323" s="169"/>
      <c r="U323" s="169"/>
      <c r="V323" s="169"/>
      <c r="W323" s="169"/>
      <c r="X323" s="169"/>
      <c r="Y323" s="169"/>
      <c r="Z323" s="169"/>
      <c r="AA323" s="169"/>
      <c r="AB323" s="169"/>
      <c r="AC323" s="169"/>
      <c r="AD323" s="169"/>
      <c r="AE323" s="169"/>
      <c r="AF323" s="169"/>
      <c r="AG323" s="169"/>
      <c r="AH323" s="169"/>
      <c r="AI323" s="169"/>
      <c r="AJ323" s="169"/>
      <c r="AK323" s="169"/>
      <c r="AL323" s="169"/>
      <c r="AM323" s="169"/>
      <c r="AN323" s="169"/>
      <c r="AO323" s="169"/>
      <c r="AP323" s="169"/>
      <c r="AQ323" s="169"/>
      <c r="AR323" s="169"/>
      <c r="AS323" s="169"/>
      <c r="AT323" s="169"/>
      <c r="AU323" s="169"/>
      <c r="AV323" s="169"/>
      <c r="AW323" s="456"/>
      <c r="AX323" s="456"/>
      <c r="AY323" s="456"/>
      <c r="AZ323" s="456"/>
      <c r="BA323" s="456"/>
      <c r="CV323" s="456"/>
      <c r="CW323" s="456"/>
      <c r="CX323" s="456"/>
      <c r="CY323" s="456"/>
      <c r="CZ323" s="456"/>
      <c r="DA323" s="456"/>
      <c r="DB323" s="456"/>
      <c r="DC323" s="456"/>
      <c r="DD323" s="456"/>
      <c r="DE323" s="456"/>
      <c r="DF323" s="456"/>
      <c r="DG323" s="456"/>
      <c r="DH323" s="456"/>
      <c r="DI323" s="456"/>
      <c r="DJ323" s="456"/>
      <c r="DK323" s="456"/>
      <c r="DL323" s="456"/>
      <c r="DM323" s="456"/>
      <c r="DN323" s="456"/>
      <c r="DO323" s="456"/>
      <c r="DP323" s="456"/>
      <c r="DQ323" s="456"/>
    </row>
    <row r="324" spans="2:121" s="455" customFormat="1" ht="18">
      <c r="B324" s="511" t="s">
        <v>331</v>
      </c>
      <c r="C324" s="511"/>
      <c r="D324" s="31"/>
      <c r="E324" s="31"/>
      <c r="F324" s="31"/>
      <c r="G324" s="31"/>
      <c r="H324" s="739">
        <v>34934.66</v>
      </c>
      <c r="I324" s="739"/>
      <c r="J324" s="721">
        <v>6808.14</v>
      </c>
      <c r="K324" s="460">
        <v>28484.95</v>
      </c>
      <c r="L324" s="460">
        <v>45269.72</v>
      </c>
      <c r="M324" s="460">
        <v>47781.07</v>
      </c>
      <c r="N324" s="460">
        <v>45575.89</v>
      </c>
      <c r="O324" s="460">
        <v>45575.88</v>
      </c>
      <c r="P324" s="460">
        <v>45575.88</v>
      </c>
      <c r="Q324" s="457">
        <v>45575.88</v>
      </c>
      <c r="S324" s="169"/>
      <c r="T324" s="169"/>
      <c r="U324" s="169"/>
      <c r="V324" s="169"/>
      <c r="W324" s="169"/>
      <c r="X324" s="169"/>
      <c r="Y324" s="169"/>
      <c r="Z324" s="169"/>
      <c r="AA324" s="169"/>
      <c r="AB324" s="169"/>
      <c r="AC324" s="169"/>
      <c r="AD324" s="169"/>
      <c r="AE324" s="169"/>
      <c r="AF324" s="169"/>
      <c r="AG324" s="169"/>
      <c r="AH324" s="169"/>
      <c r="AI324" s="169"/>
      <c r="AJ324" s="169"/>
      <c r="AK324" s="169"/>
      <c r="AL324" s="169"/>
      <c r="AM324" s="169"/>
      <c r="AN324" s="169"/>
      <c r="AO324" s="169"/>
      <c r="AP324" s="169"/>
      <c r="AQ324" s="169"/>
      <c r="AR324" s="169"/>
      <c r="AS324" s="169"/>
      <c r="AT324" s="169"/>
      <c r="AU324" s="169"/>
      <c r="AV324" s="169"/>
      <c r="AW324" s="456"/>
      <c r="AX324" s="456"/>
      <c r="AY324" s="456"/>
      <c r="AZ324" s="456"/>
      <c r="BA324" s="456"/>
      <c r="CV324" s="456"/>
      <c r="CW324" s="456"/>
      <c r="CX324" s="456"/>
      <c r="CY324" s="456"/>
      <c r="CZ324" s="456"/>
      <c r="DA324" s="456"/>
      <c r="DB324" s="456"/>
      <c r="DC324" s="456"/>
      <c r="DD324" s="456"/>
      <c r="DE324" s="456"/>
      <c r="DF324" s="456"/>
      <c r="DG324" s="456"/>
      <c r="DH324" s="456"/>
      <c r="DI324" s="456"/>
      <c r="DJ324" s="456"/>
      <c r="DK324" s="456"/>
      <c r="DL324" s="456"/>
      <c r="DM324" s="456"/>
      <c r="DN324" s="456"/>
      <c r="DO324" s="456"/>
      <c r="DP324" s="456"/>
      <c r="DQ324" s="456"/>
    </row>
    <row r="325" spans="2:121" s="455" customFormat="1" ht="18" hidden="1">
      <c r="B325" s="511" t="s">
        <v>332</v>
      </c>
      <c r="C325" s="511"/>
      <c r="D325" s="31"/>
      <c r="E325" s="31"/>
      <c r="F325" s="31"/>
      <c r="G325" s="31"/>
      <c r="H325" s="739"/>
      <c r="I325" s="739"/>
      <c r="J325" s="721"/>
      <c r="K325" s="460"/>
      <c r="L325" s="460"/>
      <c r="M325" s="460"/>
      <c r="N325" s="460"/>
      <c r="O325" s="460">
        <v>180252.96</v>
      </c>
      <c r="P325" s="460"/>
      <c r="Q325" s="457">
        <v>120168.64</v>
      </c>
      <c r="S325" s="169"/>
      <c r="T325" s="169"/>
      <c r="U325" s="169"/>
      <c r="V325" s="169"/>
      <c r="W325" s="169"/>
      <c r="X325" s="169"/>
      <c r="Y325" s="169"/>
      <c r="Z325" s="169"/>
      <c r="AA325" s="169"/>
      <c r="AB325" s="169"/>
      <c r="AC325" s="169"/>
      <c r="AD325" s="169"/>
      <c r="AE325" s="169"/>
      <c r="AF325" s="169"/>
      <c r="AG325" s="169"/>
      <c r="AH325" s="169"/>
      <c r="AI325" s="169"/>
      <c r="AJ325" s="169"/>
      <c r="AK325" s="169"/>
      <c r="AL325" s="169"/>
      <c r="AM325" s="169"/>
      <c r="AN325" s="169"/>
      <c r="AO325" s="169"/>
      <c r="AP325" s="169"/>
      <c r="AQ325" s="169"/>
      <c r="AR325" s="169"/>
      <c r="AS325" s="169"/>
      <c r="AT325" s="169"/>
      <c r="AU325" s="169"/>
      <c r="AV325" s="169"/>
      <c r="AW325" s="456"/>
      <c r="AX325" s="456"/>
      <c r="AY325" s="456"/>
      <c r="AZ325" s="456"/>
      <c r="BA325" s="456"/>
      <c r="CV325" s="456"/>
      <c r="CW325" s="456"/>
      <c r="CX325" s="456"/>
      <c r="CY325" s="456"/>
      <c r="CZ325" s="456"/>
      <c r="DA325" s="456"/>
      <c r="DB325" s="456"/>
      <c r="DC325" s="456"/>
      <c r="DD325" s="456"/>
      <c r="DE325" s="456"/>
      <c r="DF325" s="456"/>
      <c r="DG325" s="456"/>
      <c r="DH325" s="456"/>
      <c r="DI325" s="456"/>
      <c r="DJ325" s="456"/>
      <c r="DK325" s="456"/>
      <c r="DL325" s="456"/>
      <c r="DM325" s="456"/>
      <c r="DN325" s="456"/>
      <c r="DO325" s="456"/>
      <c r="DP325" s="456"/>
      <c r="DQ325" s="456"/>
    </row>
    <row r="326" spans="2:121" s="455" customFormat="1" ht="18" hidden="1">
      <c r="B326" s="511" t="s">
        <v>333</v>
      </c>
      <c r="C326" s="511"/>
      <c r="D326" s="31"/>
      <c r="E326" s="31"/>
      <c r="F326" s="31"/>
      <c r="G326" s="31"/>
      <c r="H326" s="739"/>
      <c r="I326" s="739"/>
      <c r="J326" s="721"/>
      <c r="K326" s="460"/>
      <c r="L326" s="460"/>
      <c r="M326" s="460"/>
      <c r="N326" s="460"/>
      <c r="O326" s="460">
        <v>2899.98</v>
      </c>
      <c r="P326" s="460"/>
      <c r="Q326" s="457"/>
      <c r="S326" s="169"/>
      <c r="T326" s="169"/>
      <c r="U326" s="169"/>
      <c r="V326" s="169"/>
      <c r="W326" s="169"/>
      <c r="X326" s="169"/>
      <c r="Y326" s="169"/>
      <c r="Z326" s="169"/>
      <c r="AA326" s="169"/>
      <c r="AB326" s="169"/>
      <c r="AC326" s="169"/>
      <c r="AD326" s="169"/>
      <c r="AE326" s="169"/>
      <c r="AF326" s="169"/>
      <c r="AG326" s="169"/>
      <c r="AH326" s="169"/>
      <c r="AI326" s="169"/>
      <c r="AJ326" s="169"/>
      <c r="AK326" s="169"/>
      <c r="AL326" s="169"/>
      <c r="AM326" s="169"/>
      <c r="AN326" s="169"/>
      <c r="AO326" s="169"/>
      <c r="AP326" s="169"/>
      <c r="AQ326" s="169"/>
      <c r="AR326" s="169"/>
      <c r="AS326" s="169"/>
      <c r="AT326" s="169"/>
      <c r="AU326" s="169"/>
      <c r="AV326" s="169"/>
      <c r="AW326" s="456"/>
      <c r="AX326" s="456"/>
      <c r="AY326" s="456"/>
      <c r="AZ326" s="456"/>
      <c r="BA326" s="456"/>
      <c r="CV326" s="456"/>
      <c r="CW326" s="456"/>
      <c r="CX326" s="456"/>
      <c r="CY326" s="456"/>
      <c r="CZ326" s="456"/>
      <c r="DA326" s="456"/>
      <c r="DB326" s="456"/>
      <c r="DC326" s="456"/>
      <c r="DD326" s="456"/>
      <c r="DE326" s="456"/>
      <c r="DF326" s="456"/>
      <c r="DG326" s="456"/>
      <c r="DH326" s="456"/>
      <c r="DI326" s="456"/>
      <c r="DJ326" s="456"/>
      <c r="DK326" s="456"/>
      <c r="DL326" s="456"/>
      <c r="DM326" s="456"/>
      <c r="DN326" s="456"/>
      <c r="DO326" s="456"/>
      <c r="DP326" s="456"/>
      <c r="DQ326" s="456"/>
    </row>
    <row r="327" spans="2:121" s="455" customFormat="1" ht="18" hidden="1">
      <c r="B327" s="511" t="s">
        <v>592</v>
      </c>
      <c r="C327" s="511"/>
      <c r="D327" s="31"/>
      <c r="E327" s="31"/>
      <c r="F327" s="31"/>
      <c r="G327" s="31"/>
      <c r="H327" s="739"/>
      <c r="I327" s="739"/>
      <c r="J327" s="721"/>
      <c r="K327" s="460">
        <v>59647</v>
      </c>
      <c r="L327" s="460"/>
      <c r="M327" s="460">
        <v>50781.97</v>
      </c>
      <c r="N327" s="460"/>
      <c r="O327" s="460"/>
      <c r="P327" s="460"/>
      <c r="Q327" s="457"/>
      <c r="S327" s="169"/>
      <c r="T327" s="169"/>
      <c r="U327" s="169"/>
      <c r="V327" s="169"/>
      <c r="W327" s="169"/>
      <c r="X327" s="169"/>
      <c r="Y327" s="169"/>
      <c r="Z327" s="169"/>
      <c r="AA327" s="169"/>
      <c r="AB327" s="169"/>
      <c r="AC327" s="169"/>
      <c r="AD327" s="169"/>
      <c r="AE327" s="169"/>
      <c r="AF327" s="169"/>
      <c r="AG327" s="169"/>
      <c r="AH327" s="169"/>
      <c r="AI327" s="169"/>
      <c r="AJ327" s="169"/>
      <c r="AK327" s="169"/>
      <c r="AL327" s="169"/>
      <c r="AM327" s="169"/>
      <c r="AN327" s="169"/>
      <c r="AO327" s="169"/>
      <c r="AP327" s="169"/>
      <c r="AQ327" s="169"/>
      <c r="AR327" s="169"/>
      <c r="AS327" s="169"/>
      <c r="AT327" s="169"/>
      <c r="AU327" s="169"/>
      <c r="AV327" s="169"/>
      <c r="AW327" s="456"/>
      <c r="AX327" s="456"/>
      <c r="AY327" s="456"/>
      <c r="AZ327" s="456"/>
      <c r="BA327" s="456"/>
      <c r="CV327" s="456"/>
      <c r="CW327" s="456"/>
      <c r="CX327" s="456"/>
      <c r="CY327" s="456"/>
      <c r="CZ327" s="456"/>
      <c r="DA327" s="456"/>
      <c r="DB327" s="456"/>
      <c r="DC327" s="456"/>
      <c r="DD327" s="456"/>
      <c r="DE327" s="456"/>
      <c r="DF327" s="456"/>
      <c r="DG327" s="456"/>
      <c r="DH327" s="456"/>
      <c r="DI327" s="456"/>
      <c r="DJ327" s="456"/>
      <c r="DK327" s="456"/>
      <c r="DL327" s="456"/>
      <c r="DM327" s="456"/>
      <c r="DN327" s="456"/>
      <c r="DO327" s="456"/>
      <c r="DP327" s="456"/>
      <c r="DQ327" s="456"/>
    </row>
    <row r="328" spans="1:121" s="455" customFormat="1" ht="18">
      <c r="A328" s="89"/>
      <c r="B328" s="511" t="s">
        <v>666</v>
      </c>
      <c r="C328" s="511"/>
      <c r="D328" s="31"/>
      <c r="E328" s="31"/>
      <c r="F328" s="31"/>
      <c r="G328" s="31"/>
      <c r="H328" s="739">
        <v>110791.87</v>
      </c>
      <c r="I328" s="739"/>
      <c r="J328" s="721">
        <f>892482.68+10133.34+675.56</f>
        <v>903291.5800000001</v>
      </c>
      <c r="K328" s="460">
        <v>3951025.2</v>
      </c>
      <c r="L328" s="460"/>
      <c r="M328" s="460"/>
      <c r="N328" s="460"/>
      <c r="O328" s="460"/>
      <c r="P328" s="460"/>
      <c r="Q328" s="457"/>
      <c r="S328" s="169"/>
      <c r="T328" s="169"/>
      <c r="U328" s="169"/>
      <c r="V328" s="169"/>
      <c r="W328" s="169"/>
      <c r="X328" s="169"/>
      <c r="Y328" s="169"/>
      <c r="Z328" s="169"/>
      <c r="AA328" s="169"/>
      <c r="AB328" s="169"/>
      <c r="AC328" s="169"/>
      <c r="AD328" s="169"/>
      <c r="AE328" s="169"/>
      <c r="AF328" s="169"/>
      <c r="AG328" s="169"/>
      <c r="AH328" s="169"/>
      <c r="AI328" s="169"/>
      <c r="AJ328" s="169"/>
      <c r="AK328" s="169"/>
      <c r="AL328" s="169"/>
      <c r="AM328" s="169"/>
      <c r="AN328" s="169"/>
      <c r="AO328" s="169"/>
      <c r="AP328" s="169"/>
      <c r="AQ328" s="169"/>
      <c r="AR328" s="169"/>
      <c r="AS328" s="169"/>
      <c r="AT328" s="169"/>
      <c r="AU328" s="169"/>
      <c r="AV328" s="169"/>
      <c r="AW328" s="456"/>
      <c r="AX328" s="456"/>
      <c r="AY328" s="456"/>
      <c r="AZ328" s="456"/>
      <c r="BA328" s="456"/>
      <c r="CV328" s="456"/>
      <c r="CW328" s="456"/>
      <c r="CX328" s="456"/>
      <c r="CY328" s="456"/>
      <c r="CZ328" s="456"/>
      <c r="DA328" s="456"/>
      <c r="DB328" s="456"/>
      <c r="DC328" s="456"/>
      <c r="DD328" s="456"/>
      <c r="DE328" s="456"/>
      <c r="DF328" s="456"/>
      <c r="DG328" s="456"/>
      <c r="DH328" s="456"/>
      <c r="DI328" s="456"/>
      <c r="DJ328" s="456"/>
      <c r="DK328" s="456"/>
      <c r="DL328" s="456"/>
      <c r="DM328" s="456"/>
      <c r="DN328" s="456"/>
      <c r="DO328" s="456"/>
      <c r="DP328" s="456"/>
      <c r="DQ328" s="456"/>
    </row>
    <row r="329" spans="2:121" s="455" customFormat="1" ht="18">
      <c r="B329" s="511" t="s">
        <v>334</v>
      </c>
      <c r="C329" s="511"/>
      <c r="D329" s="31"/>
      <c r="E329" s="31"/>
      <c r="F329" s="31"/>
      <c r="G329" s="31"/>
      <c r="H329" s="739">
        <v>284117.87</v>
      </c>
      <c r="I329" s="739"/>
      <c r="J329" s="721">
        <v>465456.96</v>
      </c>
      <c r="K329" s="460">
        <v>653445.53</v>
      </c>
      <c r="L329" s="460">
        <v>360198.64</v>
      </c>
      <c r="M329" s="460">
        <v>273675.28</v>
      </c>
      <c r="N329" s="460">
        <v>291705.24</v>
      </c>
      <c r="O329" s="460">
        <v>144310.78</v>
      </c>
      <c r="P329" s="460">
        <v>414474.96</v>
      </c>
      <c r="Q329" s="457">
        <v>311656.51</v>
      </c>
      <c r="S329" s="169"/>
      <c r="T329" s="169"/>
      <c r="U329" s="169"/>
      <c r="V329" s="169"/>
      <c r="W329" s="169"/>
      <c r="X329" s="169"/>
      <c r="Y329" s="169"/>
      <c r="Z329" s="169"/>
      <c r="AA329" s="169"/>
      <c r="AB329" s="169"/>
      <c r="AC329" s="169"/>
      <c r="AD329" s="169"/>
      <c r="AE329" s="169"/>
      <c r="AF329" s="169"/>
      <c r="AG329" s="169"/>
      <c r="AH329" s="169"/>
      <c r="AI329" s="169"/>
      <c r="AJ329" s="169"/>
      <c r="AK329" s="169"/>
      <c r="AL329" s="169"/>
      <c r="AM329" s="169"/>
      <c r="AN329" s="169"/>
      <c r="AO329" s="169"/>
      <c r="AP329" s="169"/>
      <c r="AQ329" s="169"/>
      <c r="AR329" s="169"/>
      <c r="AS329" s="169"/>
      <c r="AT329" s="169"/>
      <c r="AU329" s="169"/>
      <c r="AV329" s="169"/>
      <c r="AW329" s="456"/>
      <c r="AX329" s="456"/>
      <c r="AY329" s="456"/>
      <c r="AZ329" s="456"/>
      <c r="BA329" s="456"/>
      <c r="CV329" s="456"/>
      <c r="CW329" s="456"/>
      <c r="CX329" s="456"/>
      <c r="CY329" s="456"/>
      <c r="CZ329" s="456"/>
      <c r="DA329" s="456"/>
      <c r="DB329" s="456"/>
      <c r="DC329" s="456"/>
      <c r="DD329" s="456"/>
      <c r="DE329" s="456"/>
      <c r="DF329" s="456"/>
      <c r="DG329" s="456"/>
      <c r="DH329" s="456"/>
      <c r="DI329" s="456"/>
      <c r="DJ329" s="456"/>
      <c r="DK329" s="456"/>
      <c r="DL329" s="456"/>
      <c r="DM329" s="456"/>
      <c r="DN329" s="456"/>
      <c r="DO329" s="456"/>
      <c r="DP329" s="456"/>
      <c r="DQ329" s="456"/>
    </row>
    <row r="330" spans="2:121" s="455" customFormat="1" ht="18" hidden="1">
      <c r="B330" s="511" t="s">
        <v>335</v>
      </c>
      <c r="C330" s="511"/>
      <c r="D330" s="31"/>
      <c r="E330" s="31"/>
      <c r="F330" s="31"/>
      <c r="G330" s="31"/>
      <c r="H330" s="739"/>
      <c r="I330" s="739"/>
      <c r="J330" s="721"/>
      <c r="K330" s="460"/>
      <c r="L330" s="460"/>
      <c r="M330" s="460"/>
      <c r="N330" s="460"/>
      <c r="O330" s="460"/>
      <c r="P330" s="460"/>
      <c r="Q330" s="457"/>
      <c r="S330" s="169"/>
      <c r="T330" s="169"/>
      <c r="U330" s="169"/>
      <c r="V330" s="169"/>
      <c r="W330" s="169"/>
      <c r="X330" s="169"/>
      <c r="Y330" s="169"/>
      <c r="Z330" s="169"/>
      <c r="AA330" s="169"/>
      <c r="AB330" s="169"/>
      <c r="AC330" s="169"/>
      <c r="AD330" s="169"/>
      <c r="AE330" s="169"/>
      <c r="AF330" s="169"/>
      <c r="AG330" s="169"/>
      <c r="AH330" s="169"/>
      <c r="AI330" s="169"/>
      <c r="AJ330" s="169"/>
      <c r="AK330" s="169"/>
      <c r="AL330" s="169"/>
      <c r="AM330" s="169"/>
      <c r="AN330" s="169"/>
      <c r="AO330" s="169"/>
      <c r="AP330" s="169"/>
      <c r="AQ330" s="169"/>
      <c r="AR330" s="169"/>
      <c r="AS330" s="169"/>
      <c r="AT330" s="169"/>
      <c r="AU330" s="169"/>
      <c r="AV330" s="169"/>
      <c r="AW330" s="456"/>
      <c r="AX330" s="456"/>
      <c r="AY330" s="456"/>
      <c r="AZ330" s="456"/>
      <c r="BA330" s="456"/>
      <c r="CV330" s="456"/>
      <c r="CW330" s="456"/>
      <c r="CX330" s="456"/>
      <c r="CY330" s="456"/>
      <c r="CZ330" s="456"/>
      <c r="DA330" s="456"/>
      <c r="DB330" s="456"/>
      <c r="DC330" s="456"/>
      <c r="DD330" s="456"/>
      <c r="DE330" s="456"/>
      <c r="DF330" s="456"/>
      <c r="DG330" s="456"/>
      <c r="DH330" s="456"/>
      <c r="DI330" s="456"/>
      <c r="DJ330" s="456"/>
      <c r="DK330" s="456"/>
      <c r="DL330" s="456"/>
      <c r="DM330" s="456"/>
      <c r="DN330" s="456"/>
      <c r="DO330" s="456"/>
      <c r="DP330" s="456"/>
      <c r="DQ330" s="456"/>
    </row>
    <row r="331" spans="2:121" s="455" customFormat="1" ht="18">
      <c r="B331" s="511" t="s">
        <v>336</v>
      </c>
      <c r="C331" s="511"/>
      <c r="D331" s="31"/>
      <c r="E331" s="31"/>
      <c r="F331" s="31"/>
      <c r="G331" s="31"/>
      <c r="H331" s="739">
        <v>2861369.07</v>
      </c>
      <c r="I331" s="739"/>
      <c r="J331" s="721">
        <v>1934541.21</v>
      </c>
      <c r="K331" s="460">
        <v>1223929.67</v>
      </c>
      <c r="L331" s="460">
        <v>1636829.06</v>
      </c>
      <c r="M331" s="460">
        <v>1832976.31</v>
      </c>
      <c r="N331" s="460">
        <v>1087509.44</v>
      </c>
      <c r="O331" s="460">
        <v>2351724.11</v>
      </c>
      <c r="P331" s="460">
        <v>1730784.73</v>
      </c>
      <c r="Q331" s="457">
        <v>1978783.09</v>
      </c>
      <c r="S331" s="169"/>
      <c r="T331" s="169"/>
      <c r="U331" s="169"/>
      <c r="V331" s="169"/>
      <c r="W331" s="169"/>
      <c r="X331" s="169"/>
      <c r="Y331" s="169"/>
      <c r="Z331" s="169"/>
      <c r="AA331" s="169"/>
      <c r="AB331" s="169"/>
      <c r="AC331" s="169"/>
      <c r="AD331" s="169"/>
      <c r="AE331" s="169"/>
      <c r="AF331" s="169"/>
      <c r="AG331" s="169"/>
      <c r="AH331" s="169"/>
      <c r="AI331" s="169"/>
      <c r="AJ331" s="169"/>
      <c r="AK331" s="169"/>
      <c r="AL331" s="169"/>
      <c r="AM331" s="169"/>
      <c r="AN331" s="169"/>
      <c r="AO331" s="169"/>
      <c r="AP331" s="506">
        <f>H329+H331+H333+H334</f>
        <v>3585753.4299999997</v>
      </c>
      <c r="AQ331" s="169"/>
      <c r="AR331" s="169"/>
      <c r="AS331" s="169"/>
      <c r="AT331" s="169"/>
      <c r="AU331" s="169"/>
      <c r="AV331" s="169"/>
      <c r="AW331" s="456"/>
      <c r="AX331" s="456"/>
      <c r="AY331" s="456"/>
      <c r="AZ331" s="456"/>
      <c r="BA331" s="456"/>
      <c r="CV331" s="456"/>
      <c r="CW331" s="456"/>
      <c r="CX331" s="456"/>
      <c r="CY331" s="456"/>
      <c r="CZ331" s="456"/>
      <c r="DA331" s="456"/>
      <c r="DB331" s="456"/>
      <c r="DC331" s="456"/>
      <c r="DD331" s="456"/>
      <c r="DE331" s="456"/>
      <c r="DF331" s="456"/>
      <c r="DG331" s="456"/>
      <c r="DH331" s="456"/>
      <c r="DI331" s="456"/>
      <c r="DJ331" s="456"/>
      <c r="DK331" s="456"/>
      <c r="DL331" s="456"/>
      <c r="DM331" s="456"/>
      <c r="DN331" s="456"/>
      <c r="DO331" s="456"/>
      <c r="DP331" s="456"/>
      <c r="DQ331" s="456"/>
    </row>
    <row r="332" spans="2:121" s="455" customFormat="1" ht="18" hidden="1">
      <c r="B332" s="511" t="s">
        <v>337</v>
      </c>
      <c r="C332" s="511"/>
      <c r="D332" s="31"/>
      <c r="E332" s="31"/>
      <c r="F332" s="31"/>
      <c r="G332" s="31"/>
      <c r="H332" s="739"/>
      <c r="I332" s="739"/>
      <c r="J332" s="721"/>
      <c r="K332" s="460"/>
      <c r="L332" s="460"/>
      <c r="M332" s="460"/>
      <c r="N332" s="460"/>
      <c r="O332" s="460"/>
      <c r="P332" s="460"/>
      <c r="Q332" s="457"/>
      <c r="S332" s="169"/>
      <c r="T332" s="169"/>
      <c r="U332" s="169"/>
      <c r="V332" s="169"/>
      <c r="W332" s="169"/>
      <c r="X332" s="169"/>
      <c r="Y332" s="169"/>
      <c r="Z332" s="169"/>
      <c r="AA332" s="169"/>
      <c r="AB332" s="169"/>
      <c r="AC332" s="169"/>
      <c r="AD332" s="169"/>
      <c r="AE332" s="169"/>
      <c r="AF332" s="169"/>
      <c r="AG332" s="169"/>
      <c r="AH332" s="169"/>
      <c r="AI332" s="169"/>
      <c r="AJ332" s="169"/>
      <c r="AK332" s="169"/>
      <c r="AL332" s="169"/>
      <c r="AM332" s="169"/>
      <c r="AN332" s="169"/>
      <c r="AO332" s="169"/>
      <c r="AP332" s="169"/>
      <c r="AQ332" s="169"/>
      <c r="AR332" s="169"/>
      <c r="AS332" s="169"/>
      <c r="AT332" s="169"/>
      <c r="AU332" s="169"/>
      <c r="AV332" s="169"/>
      <c r="AW332" s="456"/>
      <c r="AX332" s="456"/>
      <c r="AY332" s="456"/>
      <c r="AZ332" s="456"/>
      <c r="BA332" s="456"/>
      <c r="CV332" s="456"/>
      <c r="CW332" s="456"/>
      <c r="CX332" s="456"/>
      <c r="CY332" s="456"/>
      <c r="CZ332" s="456"/>
      <c r="DA332" s="456"/>
      <c r="DB332" s="456"/>
      <c r="DC332" s="456"/>
      <c r="DD332" s="456"/>
      <c r="DE332" s="456"/>
      <c r="DF332" s="456"/>
      <c r="DG332" s="456"/>
      <c r="DH332" s="456"/>
      <c r="DI332" s="456"/>
      <c r="DJ332" s="456"/>
      <c r="DK332" s="456"/>
      <c r="DL332" s="456"/>
      <c r="DM332" s="456"/>
      <c r="DN332" s="456"/>
      <c r="DO332" s="456"/>
      <c r="DP332" s="456"/>
      <c r="DQ332" s="456"/>
    </row>
    <row r="333" spans="2:121" s="455" customFormat="1" ht="18">
      <c r="B333" s="511" t="s">
        <v>667</v>
      </c>
      <c r="C333" s="511"/>
      <c r="D333" s="31"/>
      <c r="E333" s="31"/>
      <c r="F333" s="31"/>
      <c r="G333" s="31"/>
      <c r="H333" s="739">
        <v>100000</v>
      </c>
      <c r="I333" s="739"/>
      <c r="J333" s="721">
        <v>125000</v>
      </c>
      <c r="K333" s="460">
        <v>100000</v>
      </c>
      <c r="L333" s="460"/>
      <c r="M333" s="460"/>
      <c r="N333" s="460"/>
      <c r="O333" s="460"/>
      <c r="P333" s="460"/>
      <c r="Q333" s="457"/>
      <c r="S333" s="169"/>
      <c r="T333" s="169"/>
      <c r="U333" s="169"/>
      <c r="V333" s="169"/>
      <c r="W333" s="169"/>
      <c r="X333" s="169"/>
      <c r="Y333" s="169"/>
      <c r="Z333" s="169"/>
      <c r="AA333" s="169"/>
      <c r="AB333" s="169"/>
      <c r="AC333" s="169"/>
      <c r="AD333" s="169"/>
      <c r="AE333" s="169"/>
      <c r="AF333" s="169"/>
      <c r="AG333" s="169"/>
      <c r="AH333" s="169"/>
      <c r="AI333" s="169"/>
      <c r="AJ333" s="169"/>
      <c r="AK333" s="169"/>
      <c r="AL333" s="169"/>
      <c r="AM333" s="169"/>
      <c r="AN333" s="169"/>
      <c r="AO333" s="169"/>
      <c r="AP333" s="169"/>
      <c r="AQ333" s="169"/>
      <c r="AR333" s="169"/>
      <c r="AS333" s="169"/>
      <c r="AT333" s="169"/>
      <c r="AU333" s="169"/>
      <c r="AV333" s="169"/>
      <c r="AW333" s="456"/>
      <c r="AX333" s="456"/>
      <c r="AY333" s="456"/>
      <c r="AZ333" s="456"/>
      <c r="BA333" s="456"/>
      <c r="CV333" s="456"/>
      <c r="CW333" s="456"/>
      <c r="CX333" s="456"/>
      <c r="CY333" s="456"/>
      <c r="CZ333" s="456"/>
      <c r="DA333" s="456"/>
      <c r="DB333" s="456"/>
      <c r="DC333" s="456"/>
      <c r="DD333" s="456"/>
      <c r="DE333" s="456"/>
      <c r="DF333" s="456"/>
      <c r="DG333" s="456"/>
      <c r="DH333" s="456"/>
      <c r="DI333" s="456"/>
      <c r="DJ333" s="456"/>
      <c r="DK333" s="456"/>
      <c r="DL333" s="456"/>
      <c r="DM333" s="456"/>
      <c r="DN333" s="456"/>
      <c r="DO333" s="456"/>
      <c r="DP333" s="456"/>
      <c r="DQ333" s="456"/>
    </row>
    <row r="334" spans="2:121" s="455" customFormat="1" ht="18">
      <c r="B334" s="511" t="s">
        <v>338</v>
      </c>
      <c r="C334" s="511"/>
      <c r="D334" s="31"/>
      <c r="E334" s="31"/>
      <c r="F334" s="31"/>
      <c r="G334" s="31"/>
      <c r="H334" s="739">
        <v>340266.49</v>
      </c>
      <c r="I334" s="739"/>
      <c r="J334" s="721">
        <v>808559.6</v>
      </c>
      <c r="K334" s="460">
        <v>48201.48</v>
      </c>
      <c r="L334" s="460">
        <v>364354.46</v>
      </c>
      <c r="M334" s="460">
        <v>215994.2</v>
      </c>
      <c r="N334" s="460">
        <v>549356.55</v>
      </c>
      <c r="O334" s="460">
        <v>687327.45</v>
      </c>
      <c r="P334" s="460">
        <v>99151.28</v>
      </c>
      <c r="Q334" s="457">
        <v>166010</v>
      </c>
      <c r="S334" s="169"/>
      <c r="T334" s="169"/>
      <c r="U334" s="169"/>
      <c r="V334" s="169"/>
      <c r="W334" s="169"/>
      <c r="X334" s="169"/>
      <c r="Y334" s="169"/>
      <c r="Z334" s="169"/>
      <c r="AA334" s="169"/>
      <c r="AB334" s="169"/>
      <c r="AC334" s="169"/>
      <c r="AD334" s="169"/>
      <c r="AE334" s="169"/>
      <c r="AF334" s="169"/>
      <c r="AG334" s="169"/>
      <c r="AH334" s="169"/>
      <c r="AI334" s="169"/>
      <c r="AJ334" s="169"/>
      <c r="AK334" s="169"/>
      <c r="AL334" s="169"/>
      <c r="AM334" s="169"/>
      <c r="AN334" s="169"/>
      <c r="AO334" s="169"/>
      <c r="AP334" s="506">
        <f>H298+H299+H336+H342+H350+H361+H362+H363+H364+H339+H328</f>
        <v>25832299.37</v>
      </c>
      <c r="AQ334" s="169"/>
      <c r="AR334" s="169"/>
      <c r="AS334" s="169"/>
      <c r="AT334" s="169"/>
      <c r="AU334" s="169"/>
      <c r="AV334" s="169"/>
      <c r="AW334" s="456"/>
      <c r="AX334" s="456"/>
      <c r="AY334" s="456"/>
      <c r="AZ334" s="456"/>
      <c r="BA334" s="456"/>
      <c r="CV334" s="456"/>
      <c r="CW334" s="456"/>
      <c r="CX334" s="456"/>
      <c r="CY334" s="456"/>
      <c r="CZ334" s="456"/>
      <c r="DA334" s="456"/>
      <c r="DB334" s="456"/>
      <c r="DC334" s="456"/>
      <c r="DD334" s="456"/>
      <c r="DE334" s="456"/>
      <c r="DF334" s="456"/>
      <c r="DG334" s="456"/>
      <c r="DH334" s="456"/>
      <c r="DI334" s="456"/>
      <c r="DJ334" s="456"/>
      <c r="DK334" s="456"/>
      <c r="DL334" s="456"/>
      <c r="DM334" s="456"/>
      <c r="DN334" s="456"/>
      <c r="DO334" s="456"/>
      <c r="DP334" s="456"/>
      <c r="DQ334" s="456"/>
    </row>
    <row r="335" spans="2:121" s="455" customFormat="1" ht="33" customHeight="1" hidden="1">
      <c r="B335" s="511" t="s">
        <v>339</v>
      </c>
      <c r="C335" s="511"/>
      <c r="D335" s="31"/>
      <c r="E335" s="31"/>
      <c r="F335" s="31"/>
      <c r="G335" s="31"/>
      <c r="H335" s="739"/>
      <c r="I335" s="739"/>
      <c r="J335" s="721"/>
      <c r="K335" s="460"/>
      <c r="L335" s="460"/>
      <c r="M335" s="460"/>
      <c r="N335" s="460"/>
      <c r="O335" s="460"/>
      <c r="P335" s="460"/>
      <c r="Q335" s="457"/>
      <c r="S335" s="169"/>
      <c r="T335" s="169"/>
      <c r="U335" s="169"/>
      <c r="V335" s="169"/>
      <c r="W335" s="169"/>
      <c r="X335" s="169"/>
      <c r="Y335" s="169"/>
      <c r="Z335" s="169"/>
      <c r="AA335" s="169"/>
      <c r="AB335" s="169"/>
      <c r="AC335" s="169"/>
      <c r="AD335" s="169"/>
      <c r="AE335" s="169"/>
      <c r="AF335" s="169"/>
      <c r="AG335" s="169"/>
      <c r="AH335" s="169"/>
      <c r="AI335" s="169"/>
      <c r="AJ335" s="169"/>
      <c r="AK335" s="169"/>
      <c r="AL335" s="169"/>
      <c r="AM335" s="169"/>
      <c r="AN335" s="169"/>
      <c r="AO335" s="169"/>
      <c r="AP335" s="169"/>
      <c r="AQ335" s="169"/>
      <c r="AR335" s="169"/>
      <c r="AS335" s="169"/>
      <c r="AT335" s="169"/>
      <c r="AU335" s="169"/>
      <c r="AV335" s="169"/>
      <c r="AW335" s="456"/>
      <c r="AX335" s="456"/>
      <c r="AY335" s="456"/>
      <c r="AZ335" s="456"/>
      <c r="BA335" s="456"/>
      <c r="CV335" s="456"/>
      <c r="CW335" s="456"/>
      <c r="CX335" s="456"/>
      <c r="CY335" s="456"/>
      <c r="CZ335" s="456"/>
      <c r="DA335" s="456"/>
      <c r="DB335" s="456"/>
      <c r="DC335" s="456"/>
      <c r="DD335" s="456"/>
      <c r="DE335" s="456"/>
      <c r="DF335" s="456"/>
      <c r="DG335" s="456"/>
      <c r="DH335" s="456"/>
      <c r="DI335" s="456"/>
      <c r="DJ335" s="456"/>
      <c r="DK335" s="456"/>
      <c r="DL335" s="456"/>
      <c r="DM335" s="456"/>
      <c r="DN335" s="456"/>
      <c r="DO335" s="456"/>
      <c r="DP335" s="456"/>
      <c r="DQ335" s="456"/>
    </row>
    <row r="336" spans="2:121" s="455" customFormat="1" ht="18">
      <c r="B336" s="511" t="s">
        <v>340</v>
      </c>
      <c r="C336" s="511"/>
      <c r="D336" s="31"/>
      <c r="E336" s="31"/>
      <c r="F336" s="31"/>
      <c r="G336" s="31"/>
      <c r="H336" s="739">
        <v>5000000</v>
      </c>
      <c r="I336" s="739"/>
      <c r="J336" s="721"/>
      <c r="K336" s="460"/>
      <c r="L336" s="460"/>
      <c r="M336" s="460"/>
      <c r="N336" s="460"/>
      <c r="O336" s="460"/>
      <c r="P336" s="460"/>
      <c r="Q336" s="457"/>
      <c r="S336" s="169"/>
      <c r="T336" s="169"/>
      <c r="U336" s="169"/>
      <c r="V336" s="169"/>
      <c r="W336" s="169"/>
      <c r="X336" s="169"/>
      <c r="Y336" s="169"/>
      <c r="Z336" s="169"/>
      <c r="AA336" s="169"/>
      <c r="AB336" s="169"/>
      <c r="AC336" s="169"/>
      <c r="AD336" s="169"/>
      <c r="AE336" s="169"/>
      <c r="AF336" s="169"/>
      <c r="AG336" s="169"/>
      <c r="AH336" s="169"/>
      <c r="AI336" s="169"/>
      <c r="AJ336" s="169"/>
      <c r="AK336" s="169"/>
      <c r="AL336" s="169"/>
      <c r="AM336" s="169"/>
      <c r="AN336" s="169"/>
      <c r="AO336" s="169"/>
      <c r="AP336" s="169"/>
      <c r="AQ336" s="169"/>
      <c r="AR336" s="169"/>
      <c r="AS336" s="169"/>
      <c r="AT336" s="169"/>
      <c r="AU336" s="169"/>
      <c r="AV336" s="169"/>
      <c r="AW336" s="456"/>
      <c r="AX336" s="456"/>
      <c r="AY336" s="456"/>
      <c r="AZ336" s="456"/>
      <c r="BA336" s="456"/>
      <c r="CV336" s="456"/>
      <c r="CW336" s="456"/>
      <c r="CX336" s="456"/>
      <c r="CY336" s="456"/>
      <c r="CZ336" s="456"/>
      <c r="DA336" s="456"/>
      <c r="DB336" s="456"/>
      <c r="DC336" s="456"/>
      <c r="DD336" s="456"/>
      <c r="DE336" s="456"/>
      <c r="DF336" s="456"/>
      <c r="DG336" s="456"/>
      <c r="DH336" s="456"/>
      <c r="DI336" s="456"/>
      <c r="DJ336" s="456"/>
      <c r="DK336" s="456"/>
      <c r="DL336" s="456"/>
      <c r="DM336" s="456"/>
      <c r="DN336" s="456"/>
      <c r="DO336" s="456"/>
      <c r="DP336" s="456"/>
      <c r="DQ336" s="456"/>
    </row>
    <row r="337" spans="2:121" s="455" customFormat="1" ht="18">
      <c r="B337" s="511" t="s">
        <v>341</v>
      </c>
      <c r="C337" s="511"/>
      <c r="D337" s="31"/>
      <c r="E337" s="31"/>
      <c r="F337" s="31"/>
      <c r="G337" s="31"/>
      <c r="H337" s="739"/>
      <c r="I337" s="739"/>
      <c r="J337" s="721"/>
      <c r="K337" s="460"/>
      <c r="L337" s="460"/>
      <c r="M337" s="460"/>
      <c r="N337" s="460"/>
      <c r="O337" s="460"/>
      <c r="P337" s="460"/>
      <c r="Q337" s="457"/>
      <c r="S337" s="169"/>
      <c r="T337" s="169"/>
      <c r="U337" s="169"/>
      <c r="V337" s="169"/>
      <c r="W337" s="169"/>
      <c r="X337" s="169"/>
      <c r="Y337" s="169"/>
      <c r="Z337" s="169"/>
      <c r="AA337" s="169"/>
      <c r="AB337" s="169"/>
      <c r="AC337" s="169"/>
      <c r="AD337" s="169"/>
      <c r="AE337" s="169"/>
      <c r="AF337" s="169"/>
      <c r="AG337" s="169"/>
      <c r="AH337" s="169"/>
      <c r="AI337" s="169"/>
      <c r="AJ337" s="169"/>
      <c r="AK337" s="169"/>
      <c r="AL337" s="169"/>
      <c r="AM337" s="169"/>
      <c r="AN337" s="169"/>
      <c r="AO337" s="169"/>
      <c r="AP337" s="169"/>
      <c r="AQ337" s="169"/>
      <c r="AR337" s="169"/>
      <c r="AS337" s="169"/>
      <c r="AT337" s="169"/>
      <c r="AU337" s="169"/>
      <c r="AV337" s="169"/>
      <c r="AW337" s="456"/>
      <c r="AX337" s="456"/>
      <c r="AY337" s="456"/>
      <c r="AZ337" s="456"/>
      <c r="BA337" s="456"/>
      <c r="CV337" s="456"/>
      <c r="CW337" s="456"/>
      <c r="CX337" s="456"/>
      <c r="CY337" s="456"/>
      <c r="CZ337" s="456"/>
      <c r="DA337" s="456"/>
      <c r="DB337" s="456"/>
      <c r="DC337" s="456"/>
      <c r="DD337" s="456"/>
      <c r="DE337" s="456"/>
      <c r="DF337" s="456"/>
      <c r="DG337" s="456"/>
      <c r="DH337" s="456"/>
      <c r="DI337" s="456"/>
      <c r="DJ337" s="456"/>
      <c r="DK337" s="456"/>
      <c r="DL337" s="456"/>
      <c r="DM337" s="456"/>
      <c r="DN337" s="456"/>
      <c r="DO337" s="456"/>
      <c r="DP337" s="456"/>
      <c r="DQ337" s="456"/>
    </row>
    <row r="338" spans="2:121" s="455" customFormat="1" ht="18">
      <c r="B338" s="511" t="s">
        <v>342</v>
      </c>
      <c r="C338" s="511"/>
      <c r="D338" s="31"/>
      <c r="E338" s="31"/>
      <c r="F338" s="31"/>
      <c r="G338" s="31"/>
      <c r="H338" s="739"/>
      <c r="I338" s="739"/>
      <c r="J338" s="721">
        <v>16166</v>
      </c>
      <c r="K338" s="460">
        <v>12272</v>
      </c>
      <c r="L338" s="460"/>
      <c r="M338" s="460"/>
      <c r="N338" s="460"/>
      <c r="O338" s="460"/>
      <c r="P338" s="460"/>
      <c r="Q338" s="457"/>
      <c r="S338" s="169"/>
      <c r="T338" s="169"/>
      <c r="U338" s="169"/>
      <c r="V338" s="169"/>
      <c r="W338" s="169"/>
      <c r="X338" s="169"/>
      <c r="Y338" s="169"/>
      <c r="Z338" s="169"/>
      <c r="AA338" s="169"/>
      <c r="AB338" s="169"/>
      <c r="AC338" s="169"/>
      <c r="AD338" s="169"/>
      <c r="AE338" s="169"/>
      <c r="AF338" s="169"/>
      <c r="AG338" s="169"/>
      <c r="AH338" s="169"/>
      <c r="AI338" s="169"/>
      <c r="AJ338" s="169"/>
      <c r="AK338" s="169"/>
      <c r="AL338" s="169"/>
      <c r="AM338" s="169"/>
      <c r="AN338" s="169"/>
      <c r="AO338" s="169"/>
      <c r="AP338" s="169"/>
      <c r="AQ338" s="169"/>
      <c r="AR338" s="169"/>
      <c r="AS338" s="169"/>
      <c r="AT338" s="169"/>
      <c r="AU338" s="169"/>
      <c r="AV338" s="169"/>
      <c r="AW338" s="456"/>
      <c r="AX338" s="456"/>
      <c r="AY338" s="456"/>
      <c r="AZ338" s="456"/>
      <c r="BA338" s="456"/>
      <c r="CV338" s="456"/>
      <c r="CW338" s="456"/>
      <c r="CX338" s="456"/>
      <c r="CY338" s="456"/>
      <c r="CZ338" s="456"/>
      <c r="DA338" s="456"/>
      <c r="DB338" s="456"/>
      <c r="DC338" s="456"/>
      <c r="DD338" s="456"/>
      <c r="DE338" s="456"/>
      <c r="DF338" s="456"/>
      <c r="DG338" s="456"/>
      <c r="DH338" s="456"/>
      <c r="DI338" s="456"/>
      <c r="DJ338" s="456"/>
      <c r="DK338" s="456"/>
      <c r="DL338" s="456"/>
      <c r="DM338" s="456"/>
      <c r="DN338" s="456"/>
      <c r="DO338" s="456"/>
      <c r="DP338" s="456"/>
      <c r="DQ338" s="456"/>
    </row>
    <row r="339" spans="2:121" s="455" customFormat="1" ht="18">
      <c r="B339" s="511" t="s">
        <v>566</v>
      </c>
      <c r="C339" s="511"/>
      <c r="D339" s="31"/>
      <c r="E339" s="31"/>
      <c r="F339" s="31"/>
      <c r="G339" s="31"/>
      <c r="H339" s="739">
        <v>18632.46</v>
      </c>
      <c r="I339" s="739"/>
      <c r="J339" s="721">
        <v>15751.99</v>
      </c>
      <c r="K339" s="460">
        <f>11759.1+322726.18</f>
        <v>334485.27999999997</v>
      </c>
      <c r="L339" s="460">
        <f>58510.1+23545.44</f>
        <v>82055.54</v>
      </c>
      <c r="M339" s="460">
        <f>466652.2+13500</f>
        <v>480152.2</v>
      </c>
      <c r="N339" s="460">
        <f>4160.23+74812.51+20700.94+16631.8</f>
        <v>116305.48</v>
      </c>
      <c r="O339" s="460">
        <v>11371</v>
      </c>
      <c r="P339" s="460">
        <f>16600+100065.83</f>
        <v>116665.83</v>
      </c>
      <c r="Q339" s="457">
        <f>91102.2+12400</f>
        <v>103502.2</v>
      </c>
      <c r="S339" s="169"/>
      <c r="T339" s="169"/>
      <c r="U339" s="169"/>
      <c r="V339" s="169"/>
      <c r="W339" s="169"/>
      <c r="X339" s="169"/>
      <c r="Y339" s="169"/>
      <c r="Z339" s="169"/>
      <c r="AA339" s="169"/>
      <c r="AB339" s="169"/>
      <c r="AC339" s="169"/>
      <c r="AD339" s="169"/>
      <c r="AE339" s="169"/>
      <c r="AF339" s="169"/>
      <c r="AG339" s="169"/>
      <c r="AH339" s="169"/>
      <c r="AI339" s="169"/>
      <c r="AJ339" s="169"/>
      <c r="AK339" s="169"/>
      <c r="AL339" s="169"/>
      <c r="AM339" s="169"/>
      <c r="AN339" s="169"/>
      <c r="AO339" s="169"/>
      <c r="AP339" s="169"/>
      <c r="AQ339" s="169"/>
      <c r="AR339" s="169"/>
      <c r="AS339" s="169"/>
      <c r="AT339" s="169"/>
      <c r="AU339" s="169"/>
      <c r="AV339" s="169"/>
      <c r="AW339" s="456"/>
      <c r="AX339" s="456"/>
      <c r="AY339" s="456"/>
      <c r="AZ339" s="456"/>
      <c r="BA339" s="456"/>
      <c r="CV339" s="456"/>
      <c r="CW339" s="456"/>
      <c r="CX339" s="456"/>
      <c r="CY339" s="456"/>
      <c r="CZ339" s="456"/>
      <c r="DA339" s="456"/>
      <c r="DB339" s="456"/>
      <c r="DC339" s="456"/>
      <c r="DD339" s="456"/>
      <c r="DE339" s="456"/>
      <c r="DF339" s="456"/>
      <c r="DG339" s="456"/>
      <c r="DH339" s="456"/>
      <c r="DI339" s="456"/>
      <c r="DJ339" s="456"/>
      <c r="DK339" s="456"/>
      <c r="DL339" s="456"/>
      <c r="DM339" s="456"/>
      <c r="DN339" s="456"/>
      <c r="DO339" s="456"/>
      <c r="DP339" s="456"/>
      <c r="DQ339" s="456"/>
    </row>
    <row r="340" spans="2:121" s="455" customFormat="1" ht="18" hidden="1">
      <c r="B340" s="511" t="s">
        <v>345</v>
      </c>
      <c r="C340" s="511"/>
      <c r="D340" s="31"/>
      <c r="E340" s="31"/>
      <c r="F340" s="31"/>
      <c r="G340" s="31"/>
      <c r="H340" s="739"/>
      <c r="I340" s="739"/>
      <c r="J340" s="721"/>
      <c r="K340" s="460"/>
      <c r="L340" s="460"/>
      <c r="M340" s="460"/>
      <c r="N340" s="460">
        <v>3000</v>
      </c>
      <c r="O340" s="460"/>
      <c r="P340" s="460">
        <v>0</v>
      </c>
      <c r="Q340" s="457"/>
      <c r="S340" s="169"/>
      <c r="T340" s="169"/>
      <c r="U340" s="169"/>
      <c r="V340" s="169"/>
      <c r="W340" s="169"/>
      <c r="X340" s="169"/>
      <c r="Y340" s="169"/>
      <c r="Z340" s="169"/>
      <c r="AA340" s="169"/>
      <c r="AB340" s="169"/>
      <c r="AC340" s="169"/>
      <c r="AD340" s="169"/>
      <c r="AE340" s="169"/>
      <c r="AF340" s="169"/>
      <c r="AG340" s="169"/>
      <c r="AH340" s="169"/>
      <c r="AI340" s="169"/>
      <c r="AJ340" s="169"/>
      <c r="AK340" s="169"/>
      <c r="AL340" s="169"/>
      <c r="AM340" s="169"/>
      <c r="AN340" s="169"/>
      <c r="AO340" s="169"/>
      <c r="AP340" s="169"/>
      <c r="AQ340" s="169"/>
      <c r="AR340" s="169"/>
      <c r="AS340" s="169"/>
      <c r="AT340" s="169"/>
      <c r="AU340" s="169"/>
      <c r="AV340" s="169"/>
      <c r="AW340" s="456"/>
      <c r="AX340" s="456"/>
      <c r="AY340" s="456"/>
      <c r="AZ340" s="456"/>
      <c r="BA340" s="456"/>
      <c r="CV340" s="456"/>
      <c r="CW340" s="456"/>
      <c r="CX340" s="456"/>
      <c r="CY340" s="456"/>
      <c r="CZ340" s="456"/>
      <c r="DA340" s="456"/>
      <c r="DB340" s="456"/>
      <c r="DC340" s="456"/>
      <c r="DD340" s="456"/>
      <c r="DE340" s="456"/>
      <c r="DF340" s="456"/>
      <c r="DG340" s="456"/>
      <c r="DH340" s="456"/>
      <c r="DI340" s="456"/>
      <c r="DJ340" s="456"/>
      <c r="DK340" s="456"/>
      <c r="DL340" s="456"/>
      <c r="DM340" s="456"/>
      <c r="DN340" s="456"/>
      <c r="DO340" s="456"/>
      <c r="DP340" s="456"/>
      <c r="DQ340" s="456"/>
    </row>
    <row r="341" spans="2:121" s="455" customFormat="1" ht="18">
      <c r="B341" s="511" t="s">
        <v>831</v>
      </c>
      <c r="C341" s="511"/>
      <c r="D341" s="31"/>
      <c r="E341" s="31"/>
      <c r="F341" s="31"/>
      <c r="G341" s="31"/>
      <c r="H341" s="739"/>
      <c r="I341" s="739"/>
      <c r="J341" s="721">
        <v>396050</v>
      </c>
      <c r="K341" s="460"/>
      <c r="L341" s="460"/>
      <c r="M341" s="460"/>
      <c r="N341" s="460"/>
      <c r="O341" s="460"/>
      <c r="P341" s="460"/>
      <c r="Q341" s="457"/>
      <c r="S341" s="169"/>
      <c r="T341" s="169"/>
      <c r="U341" s="169"/>
      <c r="V341" s="169"/>
      <c r="W341" s="169"/>
      <c r="X341" s="169"/>
      <c r="Y341" s="169"/>
      <c r="Z341" s="169"/>
      <c r="AA341" s="169"/>
      <c r="AB341" s="169"/>
      <c r="AC341" s="169"/>
      <c r="AD341" s="169"/>
      <c r="AE341" s="169"/>
      <c r="AF341" s="169"/>
      <c r="AG341" s="169"/>
      <c r="AH341" s="169"/>
      <c r="AI341" s="169"/>
      <c r="AJ341" s="169"/>
      <c r="AK341" s="169"/>
      <c r="AL341" s="169"/>
      <c r="AM341" s="169"/>
      <c r="AN341" s="169"/>
      <c r="AO341" s="169"/>
      <c r="AP341" s="169"/>
      <c r="AQ341" s="169"/>
      <c r="AR341" s="169"/>
      <c r="AS341" s="169"/>
      <c r="AT341" s="169"/>
      <c r="AU341" s="169"/>
      <c r="AV341" s="169"/>
      <c r="AW341" s="456"/>
      <c r="AX341" s="456"/>
      <c r="AY341" s="456"/>
      <c r="AZ341" s="456"/>
      <c r="BA341" s="456"/>
      <c r="CV341" s="456"/>
      <c r="CW341" s="456"/>
      <c r="CX341" s="456"/>
      <c r="CY341" s="456"/>
      <c r="CZ341" s="456"/>
      <c r="DA341" s="456"/>
      <c r="DB341" s="456"/>
      <c r="DC341" s="456"/>
      <c r="DD341" s="456"/>
      <c r="DE341" s="456"/>
      <c r="DF341" s="456"/>
      <c r="DG341" s="456"/>
      <c r="DH341" s="456"/>
      <c r="DI341" s="456"/>
      <c r="DJ341" s="456"/>
      <c r="DK341" s="456"/>
      <c r="DL341" s="456"/>
      <c r="DM341" s="456"/>
      <c r="DN341" s="456"/>
      <c r="DO341" s="456"/>
      <c r="DP341" s="456"/>
      <c r="DQ341" s="456"/>
    </row>
    <row r="342" spans="2:121" s="455" customFormat="1" ht="18">
      <c r="B342" s="511" t="s">
        <v>521</v>
      </c>
      <c r="C342" s="511"/>
      <c r="D342" s="31"/>
      <c r="E342" s="31"/>
      <c r="F342" s="31"/>
      <c r="G342" s="31"/>
      <c r="H342" s="739">
        <v>5002135.81</v>
      </c>
      <c r="I342" s="739"/>
      <c r="J342" s="721">
        <v>4185369.49</v>
      </c>
      <c r="K342" s="460">
        <v>3238159.21</v>
      </c>
      <c r="L342" s="460">
        <v>4310483.68</v>
      </c>
      <c r="M342" s="460">
        <v>3581030.06</v>
      </c>
      <c r="N342" s="460">
        <v>5725403.17</v>
      </c>
      <c r="O342" s="460"/>
      <c r="P342" s="460">
        <v>1789057.44</v>
      </c>
      <c r="Q342" s="457"/>
      <c r="S342" s="169"/>
      <c r="T342" s="169"/>
      <c r="U342" s="169"/>
      <c r="V342" s="169"/>
      <c r="W342" s="169"/>
      <c r="X342" s="169"/>
      <c r="Y342" s="169"/>
      <c r="Z342" s="169"/>
      <c r="AA342" s="169"/>
      <c r="AB342" s="169"/>
      <c r="AC342" s="169"/>
      <c r="AD342" s="169"/>
      <c r="AE342" s="169"/>
      <c r="AF342" s="169"/>
      <c r="AG342" s="169"/>
      <c r="AH342" s="169"/>
      <c r="AI342" s="169"/>
      <c r="AJ342" s="169"/>
      <c r="AK342" s="169"/>
      <c r="AL342" s="169"/>
      <c r="AM342" s="169"/>
      <c r="AN342" s="169"/>
      <c r="AO342" s="169"/>
      <c r="AP342" s="169"/>
      <c r="AQ342" s="169"/>
      <c r="AR342" s="169"/>
      <c r="AS342" s="169"/>
      <c r="AT342" s="169"/>
      <c r="AU342" s="169"/>
      <c r="AV342" s="169"/>
      <c r="AW342" s="456"/>
      <c r="AX342" s="456"/>
      <c r="AY342" s="456"/>
      <c r="AZ342" s="456"/>
      <c r="BA342" s="456"/>
      <c r="CV342" s="456"/>
      <c r="CW342" s="456"/>
      <c r="CX342" s="456"/>
      <c r="CY342" s="456"/>
      <c r="CZ342" s="456"/>
      <c r="DA342" s="456"/>
      <c r="DB342" s="456"/>
      <c r="DC342" s="456"/>
      <c r="DD342" s="456"/>
      <c r="DE342" s="456"/>
      <c r="DF342" s="456"/>
      <c r="DG342" s="456"/>
      <c r="DH342" s="456"/>
      <c r="DI342" s="456"/>
      <c r="DJ342" s="456"/>
      <c r="DK342" s="456"/>
      <c r="DL342" s="456"/>
      <c r="DM342" s="456"/>
      <c r="DN342" s="456"/>
      <c r="DO342" s="456"/>
      <c r="DP342" s="456"/>
      <c r="DQ342" s="456"/>
    </row>
    <row r="343" spans="2:121" s="455" customFormat="1" ht="18" hidden="1">
      <c r="B343" s="511"/>
      <c r="C343" s="511"/>
      <c r="D343" s="31"/>
      <c r="E343" s="31"/>
      <c r="F343" s="31"/>
      <c r="G343" s="31"/>
      <c r="H343" s="739"/>
      <c r="I343" s="739"/>
      <c r="J343" s="721"/>
      <c r="K343" s="460"/>
      <c r="L343" s="460"/>
      <c r="M343" s="460"/>
      <c r="N343" s="460"/>
      <c r="O343" s="460"/>
      <c r="P343" s="460"/>
      <c r="Q343" s="457"/>
      <c r="S343" s="169"/>
      <c r="T343" s="169"/>
      <c r="U343" s="169"/>
      <c r="V343" s="169"/>
      <c r="W343" s="169"/>
      <c r="X343" s="169"/>
      <c r="Y343" s="169"/>
      <c r="Z343" s="169"/>
      <c r="AA343" s="169"/>
      <c r="AB343" s="169"/>
      <c r="AC343" s="169"/>
      <c r="AD343" s="169"/>
      <c r="AE343" s="169"/>
      <c r="AF343" s="169"/>
      <c r="AG343" s="169"/>
      <c r="AH343" s="169"/>
      <c r="AI343" s="169"/>
      <c r="AJ343" s="169"/>
      <c r="AK343" s="169"/>
      <c r="AL343" s="169"/>
      <c r="AM343" s="169"/>
      <c r="AN343" s="169"/>
      <c r="AO343" s="169"/>
      <c r="AP343" s="169"/>
      <c r="AQ343" s="169"/>
      <c r="AR343" s="169"/>
      <c r="AS343" s="169"/>
      <c r="AT343" s="169"/>
      <c r="AU343" s="169"/>
      <c r="AV343" s="169"/>
      <c r="AW343" s="456"/>
      <c r="AX343" s="456"/>
      <c r="AY343" s="456"/>
      <c r="AZ343" s="456"/>
      <c r="BA343" s="456"/>
      <c r="CV343" s="456"/>
      <c r="CW343" s="456"/>
      <c r="CX343" s="456"/>
      <c r="CY343" s="456"/>
      <c r="CZ343" s="456"/>
      <c r="DA343" s="456"/>
      <c r="DB343" s="456"/>
      <c r="DC343" s="456"/>
      <c r="DD343" s="456"/>
      <c r="DE343" s="456"/>
      <c r="DF343" s="456"/>
      <c r="DG343" s="456"/>
      <c r="DH343" s="456"/>
      <c r="DI343" s="456"/>
      <c r="DJ343" s="456"/>
      <c r="DK343" s="456"/>
      <c r="DL343" s="456"/>
      <c r="DM343" s="456"/>
      <c r="DN343" s="456"/>
      <c r="DO343" s="456"/>
      <c r="DP343" s="456"/>
      <c r="DQ343" s="456"/>
    </row>
    <row r="344" spans="2:121" s="455" customFormat="1" ht="18" hidden="1">
      <c r="B344" s="511"/>
      <c r="C344" s="511"/>
      <c r="D344" s="31"/>
      <c r="E344" s="31"/>
      <c r="F344" s="31"/>
      <c r="G344" s="31"/>
      <c r="H344" s="739"/>
      <c r="I344" s="739"/>
      <c r="J344" s="721"/>
      <c r="K344" s="460"/>
      <c r="L344" s="460"/>
      <c r="M344" s="460"/>
      <c r="N344" s="460"/>
      <c r="O344" s="460"/>
      <c r="P344" s="460"/>
      <c r="Q344" s="457"/>
      <c r="S344" s="169"/>
      <c r="T344" s="169"/>
      <c r="U344" s="169"/>
      <c r="V344" s="169"/>
      <c r="W344" s="169"/>
      <c r="X344" s="169"/>
      <c r="Y344" s="169"/>
      <c r="Z344" s="169"/>
      <c r="AA344" s="169"/>
      <c r="AB344" s="169"/>
      <c r="AC344" s="169"/>
      <c r="AD344" s="169"/>
      <c r="AE344" s="169"/>
      <c r="AF344" s="169"/>
      <c r="AG344" s="169"/>
      <c r="AH344" s="169"/>
      <c r="AI344" s="169"/>
      <c r="AJ344" s="169"/>
      <c r="AK344" s="169"/>
      <c r="AL344" s="169"/>
      <c r="AM344" s="169"/>
      <c r="AN344" s="169"/>
      <c r="AO344" s="169"/>
      <c r="AP344" s="169"/>
      <c r="AQ344" s="169"/>
      <c r="AR344" s="169"/>
      <c r="AS344" s="169"/>
      <c r="AT344" s="169"/>
      <c r="AU344" s="169"/>
      <c r="AV344" s="169"/>
      <c r="AW344" s="456"/>
      <c r="AX344" s="456"/>
      <c r="AY344" s="456"/>
      <c r="AZ344" s="456"/>
      <c r="BA344" s="456"/>
      <c r="CV344" s="456"/>
      <c r="CW344" s="456"/>
      <c r="CX344" s="456"/>
      <c r="CY344" s="456"/>
      <c r="CZ344" s="456"/>
      <c r="DA344" s="456"/>
      <c r="DB344" s="456"/>
      <c r="DC344" s="456"/>
      <c r="DD344" s="456"/>
      <c r="DE344" s="456"/>
      <c r="DF344" s="456"/>
      <c r="DG344" s="456"/>
      <c r="DH344" s="456"/>
      <c r="DI344" s="456"/>
      <c r="DJ344" s="456"/>
      <c r="DK344" s="456"/>
      <c r="DL344" s="456"/>
      <c r="DM344" s="456"/>
      <c r="DN344" s="456"/>
      <c r="DO344" s="456"/>
      <c r="DP344" s="456"/>
      <c r="DQ344" s="456"/>
    </row>
    <row r="345" spans="2:121" s="455" customFormat="1" ht="18" hidden="1">
      <c r="B345" s="511"/>
      <c r="C345" s="511"/>
      <c r="D345" s="31"/>
      <c r="E345" s="31"/>
      <c r="F345" s="31"/>
      <c r="G345" s="31"/>
      <c r="H345" s="739"/>
      <c r="I345" s="739"/>
      <c r="J345" s="721"/>
      <c r="K345" s="460"/>
      <c r="L345" s="460"/>
      <c r="M345" s="460"/>
      <c r="N345" s="460"/>
      <c r="O345" s="460"/>
      <c r="P345" s="460"/>
      <c r="Q345" s="457"/>
      <c r="S345" s="169"/>
      <c r="T345" s="169"/>
      <c r="U345" s="169"/>
      <c r="V345" s="169"/>
      <c r="W345" s="169"/>
      <c r="X345" s="169"/>
      <c r="Y345" s="169"/>
      <c r="Z345" s="169"/>
      <c r="AA345" s="169"/>
      <c r="AB345" s="169"/>
      <c r="AC345" s="169"/>
      <c r="AD345" s="169"/>
      <c r="AE345" s="169"/>
      <c r="AF345" s="169"/>
      <c r="AG345" s="169"/>
      <c r="AH345" s="169"/>
      <c r="AI345" s="169"/>
      <c r="AJ345" s="169"/>
      <c r="AK345" s="169"/>
      <c r="AL345" s="169"/>
      <c r="AM345" s="169"/>
      <c r="AN345" s="169"/>
      <c r="AO345" s="169"/>
      <c r="AP345" s="169"/>
      <c r="AQ345" s="169"/>
      <c r="AR345" s="169"/>
      <c r="AS345" s="169"/>
      <c r="AT345" s="169"/>
      <c r="AU345" s="169"/>
      <c r="AV345" s="169"/>
      <c r="AW345" s="456"/>
      <c r="AX345" s="456"/>
      <c r="AY345" s="456"/>
      <c r="AZ345" s="456"/>
      <c r="BA345" s="456"/>
      <c r="CV345" s="456"/>
      <c r="CW345" s="456"/>
      <c r="CX345" s="456"/>
      <c r="CY345" s="456"/>
      <c r="CZ345" s="456"/>
      <c r="DA345" s="456"/>
      <c r="DB345" s="456"/>
      <c r="DC345" s="456"/>
      <c r="DD345" s="456"/>
      <c r="DE345" s="456"/>
      <c r="DF345" s="456"/>
      <c r="DG345" s="456"/>
      <c r="DH345" s="456"/>
      <c r="DI345" s="456"/>
      <c r="DJ345" s="456"/>
      <c r="DK345" s="456"/>
      <c r="DL345" s="456"/>
      <c r="DM345" s="456"/>
      <c r="DN345" s="456"/>
      <c r="DO345" s="456"/>
      <c r="DP345" s="456"/>
      <c r="DQ345" s="456"/>
    </row>
    <row r="346" spans="2:121" s="455" customFormat="1" ht="18" hidden="1">
      <c r="B346" s="511"/>
      <c r="C346" s="511"/>
      <c r="D346" s="31"/>
      <c r="E346" s="31"/>
      <c r="F346" s="31"/>
      <c r="G346" s="31"/>
      <c r="H346" s="739"/>
      <c r="I346" s="739"/>
      <c r="J346" s="721"/>
      <c r="K346" s="460"/>
      <c r="L346" s="460"/>
      <c r="M346" s="460"/>
      <c r="N346" s="460"/>
      <c r="O346" s="460"/>
      <c r="P346" s="460"/>
      <c r="Q346" s="457"/>
      <c r="S346" s="169"/>
      <c r="T346" s="169"/>
      <c r="U346" s="169"/>
      <c r="V346" s="169"/>
      <c r="W346" s="169"/>
      <c r="X346" s="169"/>
      <c r="Y346" s="169"/>
      <c r="Z346" s="169"/>
      <c r="AA346" s="169"/>
      <c r="AB346" s="169"/>
      <c r="AC346" s="169"/>
      <c r="AD346" s="169"/>
      <c r="AE346" s="169"/>
      <c r="AF346" s="169"/>
      <c r="AG346" s="169"/>
      <c r="AH346" s="169"/>
      <c r="AI346" s="169"/>
      <c r="AJ346" s="169"/>
      <c r="AK346" s="169"/>
      <c r="AL346" s="169"/>
      <c r="AM346" s="169"/>
      <c r="AN346" s="169"/>
      <c r="AO346" s="169"/>
      <c r="AP346" s="169"/>
      <c r="AQ346" s="169"/>
      <c r="AR346" s="169"/>
      <c r="AS346" s="169"/>
      <c r="AT346" s="169"/>
      <c r="AU346" s="169"/>
      <c r="AV346" s="169"/>
      <c r="AW346" s="456"/>
      <c r="AX346" s="456"/>
      <c r="AY346" s="456"/>
      <c r="AZ346" s="456"/>
      <c r="BA346" s="456"/>
      <c r="CV346" s="456"/>
      <c r="CW346" s="456"/>
      <c r="CX346" s="456"/>
      <c r="CY346" s="456"/>
      <c r="CZ346" s="456"/>
      <c r="DA346" s="456"/>
      <c r="DB346" s="456"/>
      <c r="DC346" s="456"/>
      <c r="DD346" s="456"/>
      <c r="DE346" s="456"/>
      <c r="DF346" s="456"/>
      <c r="DG346" s="456"/>
      <c r="DH346" s="456"/>
      <c r="DI346" s="456"/>
      <c r="DJ346" s="456"/>
      <c r="DK346" s="456"/>
      <c r="DL346" s="456"/>
      <c r="DM346" s="456"/>
      <c r="DN346" s="456"/>
      <c r="DO346" s="456"/>
      <c r="DP346" s="456"/>
      <c r="DQ346" s="456"/>
    </row>
    <row r="347" spans="2:121" s="455" customFormat="1" ht="18" hidden="1">
      <c r="B347" s="511"/>
      <c r="C347" s="511"/>
      <c r="D347" s="31"/>
      <c r="E347" s="31"/>
      <c r="F347" s="31"/>
      <c r="G347" s="31"/>
      <c r="H347" s="739"/>
      <c r="I347" s="739"/>
      <c r="J347" s="721"/>
      <c r="K347" s="460"/>
      <c r="L347" s="460"/>
      <c r="M347" s="460"/>
      <c r="N347" s="460"/>
      <c r="O347" s="460"/>
      <c r="P347" s="460"/>
      <c r="Q347" s="457"/>
      <c r="S347" s="169"/>
      <c r="T347" s="169"/>
      <c r="U347" s="169"/>
      <c r="V347" s="169"/>
      <c r="W347" s="169"/>
      <c r="X347" s="169"/>
      <c r="Y347" s="169"/>
      <c r="Z347" s="169"/>
      <c r="AA347" s="169"/>
      <c r="AB347" s="169"/>
      <c r="AC347" s="169"/>
      <c r="AD347" s="169"/>
      <c r="AE347" s="169"/>
      <c r="AF347" s="169"/>
      <c r="AG347" s="169"/>
      <c r="AH347" s="169"/>
      <c r="AI347" s="169"/>
      <c r="AJ347" s="169"/>
      <c r="AK347" s="169"/>
      <c r="AL347" s="169"/>
      <c r="AM347" s="169"/>
      <c r="AN347" s="169"/>
      <c r="AO347" s="169"/>
      <c r="AP347" s="169"/>
      <c r="AQ347" s="169"/>
      <c r="AR347" s="169"/>
      <c r="AS347" s="169"/>
      <c r="AT347" s="169"/>
      <c r="AU347" s="169"/>
      <c r="AV347" s="169"/>
      <c r="AW347" s="456"/>
      <c r="AX347" s="456"/>
      <c r="AY347" s="456"/>
      <c r="AZ347" s="456"/>
      <c r="BA347" s="456"/>
      <c r="CV347" s="456"/>
      <c r="CW347" s="456"/>
      <c r="CX347" s="456"/>
      <c r="CY347" s="456"/>
      <c r="CZ347" s="456"/>
      <c r="DA347" s="456"/>
      <c r="DB347" s="456"/>
      <c r="DC347" s="456"/>
      <c r="DD347" s="456"/>
      <c r="DE347" s="456"/>
      <c r="DF347" s="456"/>
      <c r="DG347" s="456"/>
      <c r="DH347" s="456"/>
      <c r="DI347" s="456"/>
      <c r="DJ347" s="456"/>
      <c r="DK347" s="456"/>
      <c r="DL347" s="456"/>
      <c r="DM347" s="456"/>
      <c r="DN347" s="456"/>
      <c r="DO347" s="456"/>
      <c r="DP347" s="456"/>
      <c r="DQ347" s="456"/>
    </row>
    <row r="348" spans="2:121" s="455" customFormat="1" ht="18" hidden="1">
      <c r="B348" s="511"/>
      <c r="C348" s="511"/>
      <c r="D348" s="31"/>
      <c r="E348" s="31"/>
      <c r="F348" s="31"/>
      <c r="G348" s="31"/>
      <c r="H348" s="739"/>
      <c r="I348" s="739"/>
      <c r="J348" s="721"/>
      <c r="K348" s="460"/>
      <c r="L348" s="460"/>
      <c r="M348" s="460"/>
      <c r="N348" s="460"/>
      <c r="O348" s="460"/>
      <c r="P348" s="460"/>
      <c r="Q348" s="457"/>
      <c r="S348" s="169"/>
      <c r="T348" s="169"/>
      <c r="U348" s="169"/>
      <c r="V348" s="169"/>
      <c r="W348" s="169"/>
      <c r="X348" s="169"/>
      <c r="Y348" s="169"/>
      <c r="Z348" s="169"/>
      <c r="AA348" s="169"/>
      <c r="AB348" s="169"/>
      <c r="AC348" s="169"/>
      <c r="AD348" s="169"/>
      <c r="AE348" s="169"/>
      <c r="AF348" s="169"/>
      <c r="AG348" s="169"/>
      <c r="AH348" s="169"/>
      <c r="AI348" s="169"/>
      <c r="AJ348" s="169"/>
      <c r="AK348" s="169"/>
      <c r="AL348" s="169"/>
      <c r="AM348" s="169"/>
      <c r="AN348" s="169"/>
      <c r="AO348" s="169"/>
      <c r="AP348" s="169"/>
      <c r="AQ348" s="169"/>
      <c r="AR348" s="169"/>
      <c r="AS348" s="169"/>
      <c r="AT348" s="169"/>
      <c r="AU348" s="169"/>
      <c r="AV348" s="169"/>
      <c r="AW348" s="456"/>
      <c r="AX348" s="456"/>
      <c r="AY348" s="456"/>
      <c r="AZ348" s="456"/>
      <c r="BA348" s="456"/>
      <c r="CV348" s="456"/>
      <c r="CW348" s="456"/>
      <c r="CX348" s="456"/>
      <c r="CY348" s="456"/>
      <c r="CZ348" s="456"/>
      <c r="DA348" s="456"/>
      <c r="DB348" s="456"/>
      <c r="DC348" s="456"/>
      <c r="DD348" s="456"/>
      <c r="DE348" s="456"/>
      <c r="DF348" s="456"/>
      <c r="DG348" s="456"/>
      <c r="DH348" s="456"/>
      <c r="DI348" s="456"/>
      <c r="DJ348" s="456"/>
      <c r="DK348" s="456"/>
      <c r="DL348" s="456"/>
      <c r="DM348" s="456"/>
      <c r="DN348" s="456"/>
      <c r="DO348" s="456"/>
      <c r="DP348" s="456"/>
      <c r="DQ348" s="456"/>
    </row>
    <row r="349" spans="2:121" s="455" customFormat="1" ht="18" hidden="1">
      <c r="B349" s="511"/>
      <c r="C349" s="511"/>
      <c r="D349" s="31"/>
      <c r="E349" s="31"/>
      <c r="F349" s="31"/>
      <c r="G349" s="31"/>
      <c r="H349" s="739"/>
      <c r="I349" s="739"/>
      <c r="J349" s="721"/>
      <c r="K349" s="460"/>
      <c r="L349" s="460"/>
      <c r="M349" s="460"/>
      <c r="N349" s="460"/>
      <c r="O349" s="460"/>
      <c r="P349" s="460"/>
      <c r="Q349" s="457"/>
      <c r="S349" s="169"/>
      <c r="T349" s="169"/>
      <c r="U349" s="169"/>
      <c r="V349" s="169"/>
      <c r="W349" s="169"/>
      <c r="X349" s="169"/>
      <c r="Y349" s="169"/>
      <c r="Z349" s="169"/>
      <c r="AA349" s="169"/>
      <c r="AB349" s="169"/>
      <c r="AC349" s="169"/>
      <c r="AD349" s="169"/>
      <c r="AE349" s="169"/>
      <c r="AF349" s="169"/>
      <c r="AG349" s="169"/>
      <c r="AH349" s="169"/>
      <c r="AI349" s="169"/>
      <c r="AJ349" s="169"/>
      <c r="AK349" s="169"/>
      <c r="AL349" s="169"/>
      <c r="AM349" s="169"/>
      <c r="AN349" s="169"/>
      <c r="AO349" s="169"/>
      <c r="AP349" s="169"/>
      <c r="AQ349" s="169"/>
      <c r="AR349" s="169"/>
      <c r="AS349" s="169"/>
      <c r="AT349" s="169"/>
      <c r="AU349" s="169"/>
      <c r="AV349" s="169"/>
      <c r="AW349" s="456"/>
      <c r="AX349" s="456"/>
      <c r="AY349" s="456"/>
      <c r="AZ349" s="456"/>
      <c r="BA349" s="456"/>
      <c r="CV349" s="456"/>
      <c r="CW349" s="456"/>
      <c r="CX349" s="456"/>
      <c r="CY349" s="456"/>
      <c r="CZ349" s="456"/>
      <c r="DA349" s="456"/>
      <c r="DB349" s="456"/>
      <c r="DC349" s="456"/>
      <c r="DD349" s="456"/>
      <c r="DE349" s="456"/>
      <c r="DF349" s="456"/>
      <c r="DG349" s="456"/>
      <c r="DH349" s="456"/>
      <c r="DI349" s="456"/>
      <c r="DJ349" s="456"/>
      <c r="DK349" s="456"/>
      <c r="DL349" s="456"/>
      <c r="DM349" s="456"/>
      <c r="DN349" s="456"/>
      <c r="DO349" s="456"/>
      <c r="DP349" s="456"/>
      <c r="DQ349" s="456"/>
    </row>
    <row r="350" spans="2:121" s="455" customFormat="1" ht="18">
      <c r="B350" s="511" t="s">
        <v>522</v>
      </c>
      <c r="C350" s="511"/>
      <c r="D350" s="31"/>
      <c r="E350" s="31"/>
      <c r="F350" s="31"/>
      <c r="G350" s="31"/>
      <c r="H350" s="739">
        <v>348981</v>
      </c>
      <c r="I350" s="739"/>
      <c r="J350" s="740">
        <v>247500</v>
      </c>
      <c r="K350" s="90">
        <v>6159.6</v>
      </c>
      <c r="L350" s="460">
        <v>211450</v>
      </c>
      <c r="M350" s="460">
        <v>932299.3</v>
      </c>
      <c r="N350" s="460">
        <v>541015.61</v>
      </c>
      <c r="O350" s="460">
        <v>764830.6</v>
      </c>
      <c r="P350" s="460">
        <v>1091485.91</v>
      </c>
      <c r="Q350" s="457">
        <v>662223.74</v>
      </c>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c r="AT350" s="169"/>
      <c r="AU350" s="169"/>
      <c r="AV350" s="169"/>
      <c r="AW350" s="456"/>
      <c r="AX350" s="456"/>
      <c r="AY350" s="456"/>
      <c r="AZ350" s="456"/>
      <c r="BA350" s="456"/>
      <c r="CV350" s="456"/>
      <c r="CW350" s="456"/>
      <c r="CX350" s="456"/>
      <c r="CY350" s="456"/>
      <c r="CZ350" s="456"/>
      <c r="DA350" s="456"/>
      <c r="DB350" s="456"/>
      <c r="DC350" s="456"/>
      <c r="DD350" s="456"/>
      <c r="DE350" s="456"/>
      <c r="DF350" s="456"/>
      <c r="DG350" s="456"/>
      <c r="DH350" s="456"/>
      <c r="DI350" s="456"/>
      <c r="DJ350" s="456"/>
      <c r="DK350" s="456"/>
      <c r="DL350" s="456"/>
      <c r="DM350" s="456"/>
      <c r="DN350" s="456"/>
      <c r="DO350" s="456"/>
      <c r="DP350" s="456"/>
      <c r="DQ350" s="456"/>
    </row>
    <row r="351" spans="2:121" s="455" customFormat="1" ht="18" hidden="1">
      <c r="B351" s="511" t="s">
        <v>343</v>
      </c>
      <c r="C351" s="511"/>
      <c r="D351" s="31"/>
      <c r="E351" s="31"/>
      <c r="F351" s="31"/>
      <c r="G351" s="31"/>
      <c r="H351" s="739"/>
      <c r="I351" s="739"/>
      <c r="J351" s="721"/>
      <c r="K351" s="460"/>
      <c r="L351" s="460"/>
      <c r="M351" s="460"/>
      <c r="N351" s="460"/>
      <c r="O351" s="460"/>
      <c r="P351" s="460"/>
      <c r="Q351" s="457"/>
      <c r="S351" s="169"/>
      <c r="T351" s="169"/>
      <c r="U351" s="169"/>
      <c r="V351" s="169"/>
      <c r="W351" s="169"/>
      <c r="X351" s="169"/>
      <c r="Y351" s="169"/>
      <c r="Z351" s="169"/>
      <c r="AA351" s="169"/>
      <c r="AB351" s="169"/>
      <c r="AC351" s="169"/>
      <c r="AD351" s="169"/>
      <c r="AE351" s="169"/>
      <c r="AF351" s="169"/>
      <c r="AG351" s="169"/>
      <c r="AH351" s="169"/>
      <c r="AI351" s="169"/>
      <c r="AJ351" s="169"/>
      <c r="AK351" s="169"/>
      <c r="AL351" s="169"/>
      <c r="AM351" s="169"/>
      <c r="AN351" s="169"/>
      <c r="AO351" s="169"/>
      <c r="AP351" s="169"/>
      <c r="AQ351" s="169"/>
      <c r="AR351" s="169"/>
      <c r="AS351" s="169"/>
      <c r="AT351" s="169"/>
      <c r="AU351" s="169"/>
      <c r="AV351" s="169"/>
      <c r="AW351" s="456"/>
      <c r="AX351" s="456"/>
      <c r="AY351" s="456"/>
      <c r="AZ351" s="456"/>
      <c r="BA351" s="456"/>
      <c r="CV351" s="456"/>
      <c r="CW351" s="456"/>
      <c r="CX351" s="456"/>
      <c r="CY351" s="456"/>
      <c r="CZ351" s="456"/>
      <c r="DA351" s="456"/>
      <c r="DB351" s="456"/>
      <c r="DC351" s="456"/>
      <c r="DD351" s="456"/>
      <c r="DE351" s="456"/>
      <c r="DF351" s="456"/>
      <c r="DG351" s="456"/>
      <c r="DH351" s="456"/>
      <c r="DI351" s="456"/>
      <c r="DJ351" s="456"/>
      <c r="DK351" s="456"/>
      <c r="DL351" s="456"/>
      <c r="DM351" s="456"/>
      <c r="DN351" s="456"/>
      <c r="DO351" s="456"/>
      <c r="DP351" s="456"/>
      <c r="DQ351" s="456"/>
    </row>
    <row r="352" spans="2:121" s="455" customFormat="1" ht="18" hidden="1">
      <c r="B352" s="511" t="s">
        <v>344</v>
      </c>
      <c r="C352" s="511"/>
      <c r="D352" s="31"/>
      <c r="E352" s="31"/>
      <c r="F352" s="31"/>
      <c r="G352" s="31"/>
      <c r="H352" s="739"/>
      <c r="I352" s="739"/>
      <c r="J352" s="721"/>
      <c r="K352" s="460"/>
      <c r="L352" s="460"/>
      <c r="M352" s="460"/>
      <c r="N352" s="460"/>
      <c r="O352" s="460"/>
      <c r="P352" s="460"/>
      <c r="Q352" s="457"/>
      <c r="S352" s="169"/>
      <c r="T352" s="169"/>
      <c r="U352" s="169"/>
      <c r="V352" s="169"/>
      <c r="W352" s="169"/>
      <c r="X352" s="169"/>
      <c r="Y352" s="169"/>
      <c r="Z352" s="169"/>
      <c r="AA352" s="169"/>
      <c r="AB352" s="169"/>
      <c r="AC352" s="169"/>
      <c r="AD352" s="169"/>
      <c r="AE352" s="169"/>
      <c r="AF352" s="169"/>
      <c r="AG352" s="169"/>
      <c r="AH352" s="169"/>
      <c r="AI352" s="169"/>
      <c r="AJ352" s="169"/>
      <c r="AK352" s="169"/>
      <c r="AL352" s="169"/>
      <c r="AM352" s="169"/>
      <c r="AN352" s="169"/>
      <c r="AO352" s="169"/>
      <c r="AP352" s="169"/>
      <c r="AQ352" s="169"/>
      <c r="AR352" s="169"/>
      <c r="AS352" s="169"/>
      <c r="AT352" s="169"/>
      <c r="AU352" s="169"/>
      <c r="AV352" s="169"/>
      <c r="AW352" s="456"/>
      <c r="AX352" s="456"/>
      <c r="AY352" s="456"/>
      <c r="AZ352" s="456"/>
      <c r="BA352" s="456"/>
      <c r="CV352" s="456"/>
      <c r="CW352" s="456"/>
      <c r="CX352" s="456"/>
      <c r="CY352" s="456"/>
      <c r="CZ352" s="456"/>
      <c r="DA352" s="456"/>
      <c r="DB352" s="456"/>
      <c r="DC352" s="456"/>
      <c r="DD352" s="456"/>
      <c r="DE352" s="456"/>
      <c r="DF352" s="456"/>
      <c r="DG352" s="456"/>
      <c r="DH352" s="456"/>
      <c r="DI352" s="456"/>
      <c r="DJ352" s="456"/>
      <c r="DK352" s="456"/>
      <c r="DL352" s="456"/>
      <c r="DM352" s="456"/>
      <c r="DN352" s="456"/>
      <c r="DO352" s="456"/>
      <c r="DP352" s="456"/>
      <c r="DQ352" s="456"/>
    </row>
    <row r="353" spans="2:121" s="455" customFormat="1" ht="18" hidden="1">
      <c r="B353" s="511" t="s">
        <v>345</v>
      </c>
      <c r="C353" s="511"/>
      <c r="D353" s="31"/>
      <c r="E353" s="31"/>
      <c r="F353" s="31"/>
      <c r="G353" s="31"/>
      <c r="H353" s="739"/>
      <c r="I353" s="739"/>
      <c r="J353" s="721"/>
      <c r="K353" s="460"/>
      <c r="L353" s="460"/>
      <c r="M353" s="460"/>
      <c r="N353" s="460"/>
      <c r="O353" s="460"/>
      <c r="P353" s="460"/>
      <c r="Q353" s="457"/>
      <c r="S353" s="169"/>
      <c r="T353" s="169"/>
      <c r="U353" s="169"/>
      <c r="V353" s="169"/>
      <c r="W353" s="169"/>
      <c r="X353" s="169"/>
      <c r="Y353" s="169"/>
      <c r="Z353" s="169"/>
      <c r="AA353" s="169"/>
      <c r="AB353" s="169"/>
      <c r="AC353" s="169"/>
      <c r="AD353" s="169"/>
      <c r="AE353" s="169"/>
      <c r="AF353" s="169"/>
      <c r="AG353" s="169"/>
      <c r="AH353" s="169"/>
      <c r="AI353" s="169"/>
      <c r="AJ353" s="169"/>
      <c r="AK353" s="169"/>
      <c r="AL353" s="169"/>
      <c r="AM353" s="169"/>
      <c r="AN353" s="169"/>
      <c r="AO353" s="169"/>
      <c r="AP353" s="169"/>
      <c r="AQ353" s="169"/>
      <c r="AR353" s="169"/>
      <c r="AS353" s="169"/>
      <c r="AT353" s="169"/>
      <c r="AU353" s="169"/>
      <c r="AV353" s="169"/>
      <c r="AW353" s="456"/>
      <c r="AX353" s="456"/>
      <c r="AY353" s="456"/>
      <c r="AZ353" s="456"/>
      <c r="BA353" s="456"/>
      <c r="CV353" s="456"/>
      <c r="CW353" s="456"/>
      <c r="CX353" s="456"/>
      <c r="CY353" s="456"/>
      <c r="CZ353" s="456"/>
      <c r="DA353" s="456"/>
      <c r="DB353" s="456"/>
      <c r="DC353" s="456"/>
      <c r="DD353" s="456"/>
      <c r="DE353" s="456"/>
      <c r="DF353" s="456"/>
      <c r="DG353" s="456"/>
      <c r="DH353" s="456"/>
      <c r="DI353" s="456"/>
      <c r="DJ353" s="456"/>
      <c r="DK353" s="456"/>
      <c r="DL353" s="456"/>
      <c r="DM353" s="456"/>
      <c r="DN353" s="456"/>
      <c r="DO353" s="456"/>
      <c r="DP353" s="456"/>
      <c r="DQ353" s="456"/>
    </row>
    <row r="354" spans="2:121" s="455" customFormat="1" ht="18" hidden="1">
      <c r="B354" s="511" t="s">
        <v>346</v>
      </c>
      <c r="C354" s="511"/>
      <c r="D354" s="31"/>
      <c r="E354" s="31"/>
      <c r="F354" s="31"/>
      <c r="G354" s="31"/>
      <c r="H354" s="739"/>
      <c r="I354" s="739"/>
      <c r="J354" s="721"/>
      <c r="K354" s="460"/>
      <c r="L354" s="460"/>
      <c r="M354" s="460"/>
      <c r="N354" s="460"/>
      <c r="O354" s="460"/>
      <c r="P354" s="460"/>
      <c r="Q354" s="457"/>
      <c r="S354" s="169"/>
      <c r="T354" s="169"/>
      <c r="U354" s="169"/>
      <c r="V354" s="169"/>
      <c r="W354" s="169"/>
      <c r="X354" s="169"/>
      <c r="Y354" s="169"/>
      <c r="Z354" s="169"/>
      <c r="AA354" s="169"/>
      <c r="AB354" s="169"/>
      <c r="AC354" s="169"/>
      <c r="AD354" s="169"/>
      <c r="AE354" s="169"/>
      <c r="AF354" s="169"/>
      <c r="AG354" s="169"/>
      <c r="AH354" s="169"/>
      <c r="AI354" s="169"/>
      <c r="AJ354" s="169"/>
      <c r="AK354" s="169"/>
      <c r="AL354" s="169"/>
      <c r="AM354" s="169"/>
      <c r="AN354" s="169"/>
      <c r="AO354" s="169"/>
      <c r="AP354" s="169"/>
      <c r="AQ354" s="169"/>
      <c r="AR354" s="169"/>
      <c r="AS354" s="169"/>
      <c r="AT354" s="169"/>
      <c r="AU354" s="169"/>
      <c r="AV354" s="169"/>
      <c r="AW354" s="456"/>
      <c r="AX354" s="456"/>
      <c r="AY354" s="456"/>
      <c r="AZ354" s="456"/>
      <c r="BA354" s="456"/>
      <c r="CV354" s="456"/>
      <c r="CW354" s="456"/>
      <c r="CX354" s="456"/>
      <c r="CY354" s="456"/>
      <c r="CZ354" s="456"/>
      <c r="DA354" s="456"/>
      <c r="DB354" s="456"/>
      <c r="DC354" s="456"/>
      <c r="DD354" s="456"/>
      <c r="DE354" s="456"/>
      <c r="DF354" s="456"/>
      <c r="DG354" s="456"/>
      <c r="DH354" s="456"/>
      <c r="DI354" s="456"/>
      <c r="DJ354" s="456"/>
      <c r="DK354" s="456"/>
      <c r="DL354" s="456"/>
      <c r="DM354" s="456"/>
      <c r="DN354" s="456"/>
      <c r="DO354" s="456"/>
      <c r="DP354" s="456"/>
      <c r="DQ354" s="456"/>
    </row>
    <row r="355" spans="2:121" s="455" customFormat="1" ht="18" hidden="1">
      <c r="B355" s="511" t="s">
        <v>347</v>
      </c>
      <c r="C355" s="511"/>
      <c r="D355" s="31"/>
      <c r="E355" s="31"/>
      <c r="F355" s="31"/>
      <c r="G355" s="31"/>
      <c r="H355" s="739"/>
      <c r="I355" s="739"/>
      <c r="J355" s="721"/>
      <c r="K355" s="460"/>
      <c r="L355" s="460"/>
      <c r="M355" s="460"/>
      <c r="N355" s="460"/>
      <c r="O355" s="460"/>
      <c r="P355" s="460"/>
      <c r="Q355" s="457"/>
      <c r="S355" s="169"/>
      <c r="T355" s="169"/>
      <c r="U355" s="169"/>
      <c r="V355" s="169"/>
      <c r="W355" s="169"/>
      <c r="X355" s="169"/>
      <c r="Y355" s="169"/>
      <c r="Z355" s="169"/>
      <c r="AA355" s="169"/>
      <c r="AB355" s="169"/>
      <c r="AC355" s="169"/>
      <c r="AD355" s="169"/>
      <c r="AE355" s="169"/>
      <c r="AF355" s="169"/>
      <c r="AG355" s="169"/>
      <c r="AH355" s="169"/>
      <c r="AI355" s="169"/>
      <c r="AJ355" s="169"/>
      <c r="AK355" s="169"/>
      <c r="AL355" s="169"/>
      <c r="AM355" s="169"/>
      <c r="AN355" s="169"/>
      <c r="AO355" s="169"/>
      <c r="AP355" s="169"/>
      <c r="AQ355" s="169"/>
      <c r="AR355" s="169"/>
      <c r="AS355" s="169"/>
      <c r="AT355" s="169"/>
      <c r="AU355" s="169"/>
      <c r="AV355" s="169"/>
      <c r="AW355" s="456"/>
      <c r="AX355" s="456"/>
      <c r="AY355" s="456"/>
      <c r="AZ355" s="456"/>
      <c r="BA355" s="456"/>
      <c r="CV355" s="456"/>
      <c r="CW355" s="456"/>
      <c r="CX355" s="456"/>
      <c r="CY355" s="456"/>
      <c r="CZ355" s="456"/>
      <c r="DA355" s="456"/>
      <c r="DB355" s="456"/>
      <c r="DC355" s="456"/>
      <c r="DD355" s="456"/>
      <c r="DE355" s="456"/>
      <c r="DF355" s="456"/>
      <c r="DG355" s="456"/>
      <c r="DH355" s="456"/>
      <c r="DI355" s="456"/>
      <c r="DJ355" s="456"/>
      <c r="DK355" s="456"/>
      <c r="DL355" s="456"/>
      <c r="DM355" s="456"/>
      <c r="DN355" s="456"/>
      <c r="DO355" s="456"/>
      <c r="DP355" s="456"/>
      <c r="DQ355" s="456"/>
    </row>
    <row r="356" spans="2:121" s="455" customFormat="1" ht="18" hidden="1">
      <c r="B356" s="511" t="s">
        <v>348</v>
      </c>
      <c r="C356" s="511"/>
      <c r="D356" s="31"/>
      <c r="E356" s="31"/>
      <c r="F356" s="31"/>
      <c r="G356" s="31"/>
      <c r="H356" s="739"/>
      <c r="I356" s="739"/>
      <c r="J356" s="721"/>
      <c r="K356" s="460"/>
      <c r="L356" s="460"/>
      <c r="M356" s="460"/>
      <c r="N356" s="460"/>
      <c r="O356" s="460"/>
      <c r="P356" s="460"/>
      <c r="Q356" s="457"/>
      <c r="S356" s="169"/>
      <c r="T356" s="169"/>
      <c r="U356" s="169"/>
      <c r="V356" s="169"/>
      <c r="W356" s="169"/>
      <c r="X356" s="169"/>
      <c r="Y356" s="169"/>
      <c r="Z356" s="169"/>
      <c r="AA356" s="169"/>
      <c r="AB356" s="169"/>
      <c r="AC356" s="169"/>
      <c r="AD356" s="169"/>
      <c r="AE356" s="169"/>
      <c r="AF356" s="169"/>
      <c r="AG356" s="169"/>
      <c r="AH356" s="169"/>
      <c r="AI356" s="169"/>
      <c r="AJ356" s="169"/>
      <c r="AK356" s="169"/>
      <c r="AL356" s="169"/>
      <c r="AM356" s="169"/>
      <c r="AN356" s="169"/>
      <c r="AO356" s="169"/>
      <c r="AP356" s="169"/>
      <c r="AQ356" s="169"/>
      <c r="AR356" s="169"/>
      <c r="AS356" s="169"/>
      <c r="AT356" s="169"/>
      <c r="AU356" s="169"/>
      <c r="AV356" s="169"/>
      <c r="AW356" s="456"/>
      <c r="AX356" s="456"/>
      <c r="AY356" s="456"/>
      <c r="AZ356" s="456"/>
      <c r="BA356" s="456"/>
      <c r="CV356" s="456"/>
      <c r="CW356" s="456"/>
      <c r="CX356" s="456"/>
      <c r="CY356" s="456"/>
      <c r="CZ356" s="456"/>
      <c r="DA356" s="456"/>
      <c r="DB356" s="456"/>
      <c r="DC356" s="456"/>
      <c r="DD356" s="456"/>
      <c r="DE356" s="456"/>
      <c r="DF356" s="456"/>
      <c r="DG356" s="456"/>
      <c r="DH356" s="456"/>
      <c r="DI356" s="456"/>
      <c r="DJ356" s="456"/>
      <c r="DK356" s="456"/>
      <c r="DL356" s="456"/>
      <c r="DM356" s="456"/>
      <c r="DN356" s="456"/>
      <c r="DO356" s="456"/>
      <c r="DP356" s="456"/>
      <c r="DQ356" s="456"/>
    </row>
    <row r="357" spans="2:121" s="455" customFormat="1" ht="18" hidden="1">
      <c r="B357" s="511" t="s">
        <v>349</v>
      </c>
      <c r="C357" s="511"/>
      <c r="D357" s="31"/>
      <c r="E357" s="31"/>
      <c r="F357" s="31"/>
      <c r="G357" s="31"/>
      <c r="H357" s="739"/>
      <c r="I357" s="739"/>
      <c r="J357" s="721"/>
      <c r="K357" s="460"/>
      <c r="L357" s="460"/>
      <c r="M357" s="460"/>
      <c r="N357" s="460"/>
      <c r="O357" s="460">
        <v>9049.51</v>
      </c>
      <c r="P357" s="460"/>
      <c r="Q357" s="457">
        <v>1336.18</v>
      </c>
      <c r="S357" s="169"/>
      <c r="T357" s="169"/>
      <c r="U357" s="169"/>
      <c r="V357" s="169"/>
      <c r="W357" s="169"/>
      <c r="X357" s="169"/>
      <c r="Y357" s="169"/>
      <c r="Z357" s="169"/>
      <c r="AA357" s="169"/>
      <c r="AB357" s="169"/>
      <c r="AC357" s="169"/>
      <c r="AD357" s="169"/>
      <c r="AE357" s="169"/>
      <c r="AF357" s="169"/>
      <c r="AG357" s="169"/>
      <c r="AH357" s="169"/>
      <c r="AI357" s="169"/>
      <c r="AJ357" s="169"/>
      <c r="AK357" s="169"/>
      <c r="AL357" s="169"/>
      <c r="AM357" s="169"/>
      <c r="AN357" s="169"/>
      <c r="AO357" s="169"/>
      <c r="AP357" s="169"/>
      <c r="AQ357" s="169"/>
      <c r="AR357" s="169"/>
      <c r="AS357" s="169"/>
      <c r="AT357" s="169"/>
      <c r="AU357" s="169"/>
      <c r="AV357" s="169"/>
      <c r="AW357" s="456"/>
      <c r="AX357" s="456"/>
      <c r="AY357" s="456"/>
      <c r="AZ357" s="456"/>
      <c r="BA357" s="456"/>
      <c r="CV357" s="456"/>
      <c r="CW357" s="456"/>
      <c r="CX357" s="456"/>
      <c r="CY357" s="456"/>
      <c r="CZ357" s="456"/>
      <c r="DA357" s="456"/>
      <c r="DB357" s="456"/>
      <c r="DC357" s="456"/>
      <c r="DD357" s="456"/>
      <c r="DE357" s="456"/>
      <c r="DF357" s="456"/>
      <c r="DG357" s="456"/>
      <c r="DH357" s="456"/>
      <c r="DI357" s="456"/>
      <c r="DJ357" s="456"/>
      <c r="DK357" s="456"/>
      <c r="DL357" s="456"/>
      <c r="DM357" s="456"/>
      <c r="DN357" s="456"/>
      <c r="DO357" s="456"/>
      <c r="DP357" s="456"/>
      <c r="DQ357" s="456"/>
    </row>
    <row r="358" spans="2:121" s="455" customFormat="1" ht="18" hidden="1">
      <c r="B358" s="511" t="s">
        <v>350</v>
      </c>
      <c r="C358" s="511"/>
      <c r="D358" s="31"/>
      <c r="E358" s="31"/>
      <c r="F358" s="31"/>
      <c r="G358" s="31"/>
      <c r="H358" s="739"/>
      <c r="I358" s="739"/>
      <c r="J358" s="721"/>
      <c r="K358" s="460"/>
      <c r="L358" s="460"/>
      <c r="M358" s="460"/>
      <c r="N358" s="460"/>
      <c r="O358" s="460"/>
      <c r="P358" s="460"/>
      <c r="Q358" s="457"/>
      <c r="S358" s="169"/>
      <c r="T358" s="169"/>
      <c r="U358" s="169"/>
      <c r="V358" s="169"/>
      <c r="W358" s="169"/>
      <c r="X358" s="169"/>
      <c r="Y358" s="169"/>
      <c r="Z358" s="169"/>
      <c r="AA358" s="169"/>
      <c r="AB358" s="169"/>
      <c r="AC358" s="169"/>
      <c r="AD358" s="169"/>
      <c r="AE358" s="169"/>
      <c r="AF358" s="169"/>
      <c r="AG358" s="169"/>
      <c r="AH358" s="169"/>
      <c r="AI358" s="169"/>
      <c r="AJ358" s="169"/>
      <c r="AK358" s="169"/>
      <c r="AL358" s="169"/>
      <c r="AM358" s="169"/>
      <c r="AN358" s="169"/>
      <c r="AO358" s="169"/>
      <c r="AP358" s="169"/>
      <c r="AQ358" s="169"/>
      <c r="AR358" s="169"/>
      <c r="AS358" s="169"/>
      <c r="AT358" s="169"/>
      <c r="AU358" s="169"/>
      <c r="AV358" s="169"/>
      <c r="AW358" s="456"/>
      <c r="AX358" s="456"/>
      <c r="AY358" s="456"/>
      <c r="AZ358" s="456"/>
      <c r="BA358" s="456"/>
      <c r="CV358" s="456"/>
      <c r="CW358" s="456"/>
      <c r="CX358" s="456"/>
      <c r="CY358" s="456"/>
      <c r="CZ358" s="456"/>
      <c r="DA358" s="456"/>
      <c r="DB358" s="456"/>
      <c r="DC358" s="456"/>
      <c r="DD358" s="456"/>
      <c r="DE358" s="456"/>
      <c r="DF358" s="456"/>
      <c r="DG358" s="456"/>
      <c r="DH358" s="456"/>
      <c r="DI358" s="456"/>
      <c r="DJ358" s="456"/>
      <c r="DK358" s="456"/>
      <c r="DL358" s="456"/>
      <c r="DM358" s="456"/>
      <c r="DN358" s="456"/>
      <c r="DO358" s="456"/>
      <c r="DP358" s="456"/>
      <c r="DQ358" s="456"/>
    </row>
    <row r="359" spans="2:121" s="455" customFormat="1" ht="18" hidden="1">
      <c r="B359" s="511" t="s">
        <v>351</v>
      </c>
      <c r="C359" s="511"/>
      <c r="D359" s="31"/>
      <c r="E359" s="31"/>
      <c r="F359" s="31"/>
      <c r="G359" s="31"/>
      <c r="H359" s="739"/>
      <c r="I359" s="739"/>
      <c r="J359" s="721"/>
      <c r="K359" s="460"/>
      <c r="L359" s="460"/>
      <c r="M359" s="460">
        <f>2540.01+235.2</f>
        <v>2775.21</v>
      </c>
      <c r="N359" s="460"/>
      <c r="O359" s="460"/>
      <c r="P359" s="460"/>
      <c r="Q359" s="457"/>
      <c r="S359" s="169"/>
      <c r="T359" s="169"/>
      <c r="U359" s="169"/>
      <c r="V359" s="169"/>
      <c r="W359" s="169"/>
      <c r="X359" s="169"/>
      <c r="Y359" s="169"/>
      <c r="Z359" s="169"/>
      <c r="AA359" s="169"/>
      <c r="AB359" s="169"/>
      <c r="AC359" s="169"/>
      <c r="AD359" s="169"/>
      <c r="AE359" s="169"/>
      <c r="AF359" s="169"/>
      <c r="AG359" s="169"/>
      <c r="AH359" s="169"/>
      <c r="AI359" s="169"/>
      <c r="AJ359" s="169"/>
      <c r="AK359" s="169"/>
      <c r="AL359" s="169"/>
      <c r="AM359" s="169"/>
      <c r="AN359" s="169"/>
      <c r="AO359" s="169"/>
      <c r="AP359" s="169"/>
      <c r="AQ359" s="169"/>
      <c r="AR359" s="169"/>
      <c r="AS359" s="169"/>
      <c r="AT359" s="169"/>
      <c r="AU359" s="169"/>
      <c r="AV359" s="169"/>
      <c r="AW359" s="456"/>
      <c r="AX359" s="456"/>
      <c r="AY359" s="456"/>
      <c r="AZ359" s="456"/>
      <c r="BA359" s="456"/>
      <c r="CV359" s="456"/>
      <c r="CW359" s="456"/>
      <c r="CX359" s="456"/>
      <c r="CY359" s="456"/>
      <c r="CZ359" s="456"/>
      <c r="DA359" s="456"/>
      <c r="DB359" s="456"/>
      <c r="DC359" s="456"/>
      <c r="DD359" s="456"/>
      <c r="DE359" s="456"/>
      <c r="DF359" s="456"/>
      <c r="DG359" s="456"/>
      <c r="DH359" s="456"/>
      <c r="DI359" s="456"/>
      <c r="DJ359" s="456"/>
      <c r="DK359" s="456"/>
      <c r="DL359" s="456"/>
      <c r="DM359" s="456"/>
      <c r="DN359" s="456"/>
      <c r="DO359" s="456"/>
      <c r="DP359" s="456"/>
      <c r="DQ359" s="456"/>
    </row>
    <row r="360" spans="2:121" s="455" customFormat="1" ht="18" hidden="1">
      <c r="B360" s="511" t="s">
        <v>351</v>
      </c>
      <c r="C360" s="511"/>
      <c r="D360" s="31"/>
      <c r="E360" s="31"/>
      <c r="F360" s="31"/>
      <c r="G360" s="31"/>
      <c r="H360" s="739"/>
      <c r="I360" s="739"/>
      <c r="J360" s="721"/>
      <c r="K360" s="460"/>
      <c r="L360" s="460"/>
      <c r="M360" s="460"/>
      <c r="N360" s="460"/>
      <c r="O360" s="460"/>
      <c r="P360" s="460"/>
      <c r="Q360" s="457"/>
      <c r="S360" s="169"/>
      <c r="T360" s="169"/>
      <c r="U360" s="169"/>
      <c r="V360" s="169"/>
      <c r="W360" s="169"/>
      <c r="X360" s="169"/>
      <c r="Y360" s="169"/>
      <c r="Z360" s="169"/>
      <c r="AA360" s="169"/>
      <c r="AB360" s="169"/>
      <c r="AC360" s="169"/>
      <c r="AD360" s="169"/>
      <c r="AE360" s="169"/>
      <c r="AF360" s="169"/>
      <c r="AG360" s="169"/>
      <c r="AH360" s="169"/>
      <c r="AI360" s="169"/>
      <c r="AJ360" s="169"/>
      <c r="AK360" s="169"/>
      <c r="AL360" s="169"/>
      <c r="AM360" s="169"/>
      <c r="AN360" s="169"/>
      <c r="AO360" s="169"/>
      <c r="AP360" s="169"/>
      <c r="AQ360" s="169"/>
      <c r="AR360" s="169"/>
      <c r="AS360" s="169"/>
      <c r="AT360" s="169"/>
      <c r="AU360" s="169"/>
      <c r="AV360" s="169"/>
      <c r="AW360" s="456"/>
      <c r="AX360" s="456"/>
      <c r="AY360" s="456"/>
      <c r="AZ360" s="456"/>
      <c r="BA360" s="456"/>
      <c r="CV360" s="456"/>
      <c r="CW360" s="456"/>
      <c r="CX360" s="456"/>
      <c r="CY360" s="456"/>
      <c r="CZ360" s="456"/>
      <c r="DA360" s="456"/>
      <c r="DB360" s="456"/>
      <c r="DC360" s="456"/>
      <c r="DD360" s="456"/>
      <c r="DE360" s="456"/>
      <c r="DF360" s="456"/>
      <c r="DG360" s="456"/>
      <c r="DH360" s="456"/>
      <c r="DI360" s="456"/>
      <c r="DJ360" s="456"/>
      <c r="DK360" s="456"/>
      <c r="DL360" s="456"/>
      <c r="DM360" s="456"/>
      <c r="DN360" s="456"/>
      <c r="DO360" s="456"/>
      <c r="DP360" s="456"/>
      <c r="DQ360" s="456"/>
    </row>
    <row r="361" spans="2:121" s="455" customFormat="1" ht="18">
      <c r="B361" s="509" t="s">
        <v>355</v>
      </c>
      <c r="C361" s="509"/>
      <c r="D361" s="387"/>
      <c r="E361" s="387"/>
      <c r="F361" s="387"/>
      <c r="G361" s="387"/>
      <c r="H361" s="739">
        <v>307443.12</v>
      </c>
      <c r="I361" s="739"/>
      <c r="J361" s="739">
        <v>322848.14</v>
      </c>
      <c r="K361" s="454">
        <v>244917.5</v>
      </c>
      <c r="L361" s="460"/>
      <c r="M361" s="460"/>
      <c r="N361" s="460"/>
      <c r="O361" s="460"/>
      <c r="P361" s="460"/>
      <c r="Q361" s="457"/>
      <c r="S361" s="169"/>
      <c r="T361" s="169"/>
      <c r="U361" s="169"/>
      <c r="V361" s="169"/>
      <c r="W361" s="169"/>
      <c r="X361" s="169"/>
      <c r="Y361" s="169"/>
      <c r="Z361" s="169"/>
      <c r="AA361" s="169"/>
      <c r="AB361" s="169"/>
      <c r="AC361" s="169"/>
      <c r="AD361" s="169"/>
      <c r="AE361" s="169"/>
      <c r="AF361" s="169"/>
      <c r="AG361" s="169"/>
      <c r="AH361" s="169"/>
      <c r="AI361" s="169"/>
      <c r="AJ361" s="169"/>
      <c r="AK361" s="169"/>
      <c r="AL361" s="169"/>
      <c r="AM361" s="169"/>
      <c r="AN361" s="169"/>
      <c r="AO361" s="169"/>
      <c r="AP361" s="502">
        <v>78219531</v>
      </c>
      <c r="AQ361" s="169"/>
      <c r="AR361" s="169"/>
      <c r="AS361" s="169"/>
      <c r="AT361" s="169"/>
      <c r="AU361" s="169"/>
      <c r="AV361" s="169"/>
      <c r="AW361" s="456"/>
      <c r="AX361" s="456"/>
      <c r="AY361" s="456"/>
      <c r="AZ361" s="456"/>
      <c r="BA361" s="456"/>
      <c r="CV361" s="456"/>
      <c r="CW361" s="456"/>
      <c r="CX361" s="456"/>
      <c r="CY361" s="456"/>
      <c r="CZ361" s="456"/>
      <c r="DA361" s="456"/>
      <c r="DB361" s="456"/>
      <c r="DC361" s="456"/>
      <c r="DD361" s="456"/>
      <c r="DE361" s="456"/>
      <c r="DF361" s="456"/>
      <c r="DG361" s="456"/>
      <c r="DH361" s="456"/>
      <c r="DI361" s="456"/>
      <c r="DJ361" s="456"/>
      <c r="DK361" s="456"/>
      <c r="DL361" s="456"/>
      <c r="DM361" s="456"/>
      <c r="DN361" s="456"/>
      <c r="DO361" s="456"/>
      <c r="DP361" s="456"/>
      <c r="DQ361" s="456"/>
    </row>
    <row r="362" spans="2:121" s="455" customFormat="1" ht="18">
      <c r="B362" s="509" t="s">
        <v>593</v>
      </c>
      <c r="C362" s="509"/>
      <c r="D362" s="387"/>
      <c r="E362" s="387"/>
      <c r="F362" s="387"/>
      <c r="G362" s="387"/>
      <c r="H362" s="739">
        <v>14029073.08</v>
      </c>
      <c r="I362" s="739"/>
      <c r="J362" s="739">
        <v>1919907.33</v>
      </c>
      <c r="K362" s="454">
        <v>1131134.51</v>
      </c>
      <c r="L362" s="460"/>
      <c r="M362" s="460"/>
      <c r="N362" s="460"/>
      <c r="O362" s="460"/>
      <c r="P362" s="460"/>
      <c r="Q362" s="457"/>
      <c r="S362" s="169"/>
      <c r="T362" s="169"/>
      <c r="U362" s="169"/>
      <c r="V362" s="169"/>
      <c r="W362" s="169"/>
      <c r="X362" s="169"/>
      <c r="Y362" s="169"/>
      <c r="Z362" s="169"/>
      <c r="AA362" s="169"/>
      <c r="AB362" s="169"/>
      <c r="AC362" s="169"/>
      <c r="AD362" s="169"/>
      <c r="AE362" s="169"/>
      <c r="AF362" s="169"/>
      <c r="AG362" s="169"/>
      <c r="AH362" s="169"/>
      <c r="AI362" s="169"/>
      <c r="AJ362" s="169"/>
      <c r="AK362" s="169"/>
      <c r="AL362" s="169"/>
      <c r="AM362" s="169"/>
      <c r="AN362" s="169"/>
      <c r="AO362" s="169"/>
      <c r="AP362" s="506">
        <f>H366-AP361</f>
        <v>110792.02999998629</v>
      </c>
      <c r="AQ362" s="169"/>
      <c r="AR362" s="169"/>
      <c r="AS362" s="169"/>
      <c r="AT362" s="169"/>
      <c r="AU362" s="169"/>
      <c r="AV362" s="169"/>
      <c r="AW362" s="456"/>
      <c r="AX362" s="456"/>
      <c r="AY362" s="456"/>
      <c r="AZ362" s="456"/>
      <c r="BA362" s="456"/>
      <c r="CV362" s="456"/>
      <c r="CW362" s="456"/>
      <c r="CX362" s="456"/>
      <c r="CY362" s="456"/>
      <c r="CZ362" s="456"/>
      <c r="DA362" s="456"/>
      <c r="DB362" s="456"/>
      <c r="DC362" s="456"/>
      <c r="DD362" s="456"/>
      <c r="DE362" s="456"/>
      <c r="DF362" s="456"/>
      <c r="DG362" s="456"/>
      <c r="DH362" s="456"/>
      <c r="DI362" s="456"/>
      <c r="DJ362" s="456"/>
      <c r="DK362" s="456"/>
      <c r="DL362" s="456"/>
      <c r="DM362" s="456"/>
      <c r="DN362" s="456"/>
      <c r="DO362" s="456"/>
      <c r="DP362" s="456"/>
      <c r="DQ362" s="456"/>
    </row>
    <row r="363" spans="2:121" s="455" customFormat="1" ht="18">
      <c r="B363" s="509" t="s">
        <v>940</v>
      </c>
      <c r="C363" s="509"/>
      <c r="D363" s="387"/>
      <c r="E363" s="387"/>
      <c r="F363" s="387"/>
      <c r="G363" s="387"/>
      <c r="H363" s="739">
        <v>354624</v>
      </c>
      <c r="I363" s="739"/>
      <c r="J363" s="739"/>
      <c r="K363" s="454"/>
      <c r="L363" s="460"/>
      <c r="M363" s="460"/>
      <c r="N363" s="460"/>
      <c r="O363" s="460"/>
      <c r="P363" s="460"/>
      <c r="Q363" s="457"/>
      <c r="S363" s="169"/>
      <c r="T363" s="169"/>
      <c r="U363" s="169"/>
      <c r="V363" s="169"/>
      <c r="W363" s="169"/>
      <c r="X363" s="169"/>
      <c r="Y363" s="169"/>
      <c r="Z363" s="169"/>
      <c r="AA363" s="169"/>
      <c r="AB363" s="169"/>
      <c r="AC363" s="169"/>
      <c r="AD363" s="169"/>
      <c r="AE363" s="169"/>
      <c r="AF363" s="169"/>
      <c r="AG363" s="169"/>
      <c r="AH363" s="169"/>
      <c r="AI363" s="169"/>
      <c r="AJ363" s="169"/>
      <c r="AK363" s="169"/>
      <c r="AL363" s="169"/>
      <c r="AM363" s="169"/>
      <c r="AN363" s="169"/>
      <c r="AO363" s="169"/>
      <c r="AP363" s="169"/>
      <c r="AQ363" s="169"/>
      <c r="AR363" s="169"/>
      <c r="AS363" s="169"/>
      <c r="AT363" s="169"/>
      <c r="AU363" s="169"/>
      <c r="AV363" s="169"/>
      <c r="AW363" s="456"/>
      <c r="AX363" s="456"/>
      <c r="AY363" s="456"/>
      <c r="AZ363" s="456"/>
      <c r="BA363" s="456"/>
      <c r="CV363" s="456"/>
      <c r="CW363" s="456"/>
      <c r="CX363" s="456"/>
      <c r="CY363" s="456"/>
      <c r="CZ363" s="456"/>
      <c r="DA363" s="456"/>
      <c r="DB363" s="456"/>
      <c r="DC363" s="456"/>
      <c r="DD363" s="456"/>
      <c r="DE363" s="456"/>
      <c r="DF363" s="456"/>
      <c r="DG363" s="456"/>
      <c r="DH363" s="456"/>
      <c r="DI363" s="456"/>
      <c r="DJ363" s="456"/>
      <c r="DK363" s="456"/>
      <c r="DL363" s="456"/>
      <c r="DM363" s="456"/>
      <c r="DN363" s="456"/>
      <c r="DO363" s="456"/>
      <c r="DP363" s="456"/>
      <c r="DQ363" s="456"/>
    </row>
    <row r="364" spans="1:121" s="455" customFormat="1" ht="18">
      <c r="A364" s="455" t="s">
        <v>96</v>
      </c>
      <c r="B364" s="509" t="s">
        <v>941</v>
      </c>
      <c r="C364" s="509"/>
      <c r="D364" s="387"/>
      <c r="E364" s="387"/>
      <c r="F364" s="387"/>
      <c r="G364" s="387"/>
      <c r="H364" s="739">
        <f>25+0.12</f>
        <v>25.12</v>
      </c>
      <c r="I364" s="739"/>
      <c r="J364" s="739"/>
      <c r="K364" s="454"/>
      <c r="L364" s="460"/>
      <c r="M364" s="460"/>
      <c r="N364" s="460"/>
      <c r="O364" s="460"/>
      <c r="P364" s="460"/>
      <c r="Q364" s="457"/>
      <c r="S364" s="169"/>
      <c r="T364" s="169"/>
      <c r="U364" s="169"/>
      <c r="V364" s="169"/>
      <c r="W364" s="169"/>
      <c r="X364" s="169"/>
      <c r="Y364" s="169"/>
      <c r="Z364" s="169"/>
      <c r="AA364" s="169"/>
      <c r="AB364" s="169"/>
      <c r="AC364" s="169"/>
      <c r="AD364" s="169"/>
      <c r="AE364" s="169"/>
      <c r="AF364" s="169"/>
      <c r="AG364" s="169"/>
      <c r="AH364" s="169"/>
      <c r="AI364" s="169"/>
      <c r="AJ364" s="169"/>
      <c r="AK364" s="169"/>
      <c r="AL364" s="169"/>
      <c r="AM364" s="169"/>
      <c r="AN364" s="169"/>
      <c r="AO364" s="169"/>
      <c r="AP364" s="169"/>
      <c r="AQ364" s="169"/>
      <c r="AR364" s="169"/>
      <c r="AS364" s="169"/>
      <c r="AT364" s="169"/>
      <c r="AU364" s="169"/>
      <c r="AV364" s="169"/>
      <c r="AW364" s="456"/>
      <c r="AX364" s="456"/>
      <c r="AY364" s="456"/>
      <c r="AZ364" s="456"/>
      <c r="BA364" s="456"/>
      <c r="CV364" s="456"/>
      <c r="CW364" s="456"/>
      <c r="CX364" s="456"/>
      <c r="CY364" s="456"/>
      <c r="CZ364" s="456"/>
      <c r="DA364" s="456"/>
      <c r="DB364" s="456"/>
      <c r="DC364" s="456"/>
      <c r="DD364" s="456"/>
      <c r="DE364" s="456"/>
      <c r="DF364" s="456"/>
      <c r="DG364" s="456"/>
      <c r="DH364" s="456"/>
      <c r="DI364" s="456"/>
      <c r="DJ364" s="456"/>
      <c r="DK364" s="456"/>
      <c r="DL364" s="456"/>
      <c r="DM364" s="456"/>
      <c r="DN364" s="456"/>
      <c r="DO364" s="456"/>
      <c r="DP364" s="456"/>
      <c r="DQ364" s="456"/>
    </row>
    <row r="365" spans="2:121" s="455" customFormat="1" ht="18">
      <c r="B365" s="511"/>
      <c r="C365" s="511"/>
      <c r="D365" s="31"/>
      <c r="E365" s="31"/>
      <c r="F365" s="31"/>
      <c r="G365" s="31"/>
      <c r="H365" s="739"/>
      <c r="I365" s="739"/>
      <c r="J365" s="721"/>
      <c r="K365" s="460"/>
      <c r="L365" s="460"/>
      <c r="M365" s="460"/>
      <c r="N365" s="460"/>
      <c r="O365" s="460"/>
      <c r="P365" s="460"/>
      <c r="Q365" s="457"/>
      <c r="S365" s="169"/>
      <c r="T365" s="169"/>
      <c r="U365" s="169"/>
      <c r="V365" s="169"/>
      <c r="W365" s="169"/>
      <c r="X365" s="169"/>
      <c r="Y365" s="169"/>
      <c r="Z365" s="169"/>
      <c r="AA365" s="169"/>
      <c r="AB365" s="169"/>
      <c r="AC365" s="169"/>
      <c r="AD365" s="169"/>
      <c r="AE365" s="169"/>
      <c r="AF365" s="169"/>
      <c r="AG365" s="169"/>
      <c r="AH365" s="169"/>
      <c r="AI365" s="169"/>
      <c r="AJ365" s="169"/>
      <c r="AK365" s="169"/>
      <c r="AL365" s="169"/>
      <c r="AM365" s="169"/>
      <c r="AN365" s="169"/>
      <c r="AO365" s="169"/>
      <c r="AP365" s="169"/>
      <c r="AQ365" s="169"/>
      <c r="AR365" s="169"/>
      <c r="AS365" s="169"/>
      <c r="AT365" s="169"/>
      <c r="AU365" s="169"/>
      <c r="AV365" s="169"/>
      <c r="AW365" s="456"/>
      <c r="AX365" s="456"/>
      <c r="AY365" s="456"/>
      <c r="AZ365" s="456"/>
      <c r="BA365" s="456"/>
      <c r="CV365" s="456"/>
      <c r="CW365" s="456"/>
      <c r="CX365" s="456"/>
      <c r="CY365" s="456"/>
      <c r="CZ365" s="456"/>
      <c r="DA365" s="456"/>
      <c r="DB365" s="456"/>
      <c r="DC365" s="456"/>
      <c r="DD365" s="456"/>
      <c r="DE365" s="456"/>
      <c r="DF365" s="456"/>
      <c r="DG365" s="456"/>
      <c r="DH365" s="456"/>
      <c r="DI365" s="456"/>
      <c r="DJ365" s="456"/>
      <c r="DK365" s="456"/>
      <c r="DL365" s="456"/>
      <c r="DM365" s="456"/>
      <c r="DN365" s="456"/>
      <c r="DO365" s="456"/>
      <c r="DP365" s="456"/>
      <c r="DQ365" s="456"/>
    </row>
    <row r="366" spans="2:121" s="455" customFormat="1" ht="18" thickBot="1">
      <c r="B366" s="450" t="s">
        <v>300</v>
      </c>
      <c r="C366" s="509"/>
      <c r="D366" s="387"/>
      <c r="E366" s="387"/>
      <c r="F366" s="387"/>
      <c r="G366" s="387"/>
      <c r="H366" s="738">
        <f>SUM(H292:H365)</f>
        <v>78330323.02999999</v>
      </c>
      <c r="I366" s="738"/>
      <c r="J366" s="738">
        <f>SUM(J292:J362)</f>
        <v>55577947.61000001</v>
      </c>
      <c r="K366" s="453">
        <f>SUM(K292:K365)</f>
        <v>54309817.58</v>
      </c>
      <c r="L366" s="460"/>
      <c r="M366" s="460"/>
      <c r="N366" s="460"/>
      <c r="O366" s="460"/>
      <c r="P366" s="460"/>
      <c r="Q366" s="457"/>
      <c r="S366" s="169"/>
      <c r="T366" s="169"/>
      <c r="U366" s="169"/>
      <c r="V366" s="169"/>
      <c r="W366" s="169"/>
      <c r="X366" s="169"/>
      <c r="Y366" s="169"/>
      <c r="Z366" s="169"/>
      <c r="AA366" s="169"/>
      <c r="AB366" s="169"/>
      <c r="AC366" s="169"/>
      <c r="AD366" s="169"/>
      <c r="AE366" s="169"/>
      <c r="AF366" s="169"/>
      <c r="AG366" s="169"/>
      <c r="AH366" s="169"/>
      <c r="AI366" s="169"/>
      <c r="AJ366" s="169"/>
      <c r="AK366" s="169"/>
      <c r="AL366" s="169"/>
      <c r="AM366" s="169"/>
      <c r="AN366" s="169"/>
      <c r="AO366" s="169"/>
      <c r="AP366" s="633">
        <v>62254093.69000001</v>
      </c>
      <c r="AQ366" s="169"/>
      <c r="AR366" s="169"/>
      <c r="AS366" s="169"/>
      <c r="AT366" s="169"/>
      <c r="AU366" s="169"/>
      <c r="AV366" s="169"/>
      <c r="AW366" s="456"/>
      <c r="AX366" s="456"/>
      <c r="AY366" s="456"/>
      <c r="AZ366" s="456"/>
      <c r="BA366" s="456"/>
      <c r="CV366" s="456"/>
      <c r="CW366" s="456"/>
      <c r="CX366" s="456"/>
      <c r="CY366" s="456"/>
      <c r="CZ366" s="456"/>
      <c r="DA366" s="456"/>
      <c r="DB366" s="456"/>
      <c r="DC366" s="456"/>
      <c r="DD366" s="456"/>
      <c r="DE366" s="456"/>
      <c r="DF366" s="456"/>
      <c r="DG366" s="456"/>
      <c r="DH366" s="456"/>
      <c r="DI366" s="456"/>
      <c r="DJ366" s="456"/>
      <c r="DK366" s="456"/>
      <c r="DL366" s="456"/>
      <c r="DM366" s="456"/>
      <c r="DN366" s="456"/>
      <c r="DO366" s="456"/>
      <c r="DP366" s="456"/>
      <c r="DQ366" s="456"/>
    </row>
    <row r="367" spans="2:121" s="455" customFormat="1" ht="18" thickTop="1">
      <c r="B367" s="450"/>
      <c r="C367" s="509"/>
      <c r="D367" s="387"/>
      <c r="E367" s="387"/>
      <c r="F367" s="387"/>
      <c r="G367" s="387"/>
      <c r="H367" s="387"/>
      <c r="I367" s="387"/>
      <c r="J367" s="499"/>
      <c r="K367" s="499"/>
      <c r="L367" s="460"/>
      <c r="M367" s="460"/>
      <c r="N367" s="460"/>
      <c r="O367" s="460"/>
      <c r="P367" s="460"/>
      <c r="Q367" s="457"/>
      <c r="S367" s="169"/>
      <c r="T367" s="169"/>
      <c r="U367" s="169"/>
      <c r="V367" s="169"/>
      <c r="W367" s="169"/>
      <c r="X367" s="169"/>
      <c r="Y367" s="169"/>
      <c r="Z367" s="169"/>
      <c r="AA367" s="169"/>
      <c r="AB367" s="169"/>
      <c r="AC367" s="169"/>
      <c r="AD367" s="169"/>
      <c r="AE367" s="169"/>
      <c r="AF367" s="169"/>
      <c r="AG367" s="169"/>
      <c r="AH367" s="169"/>
      <c r="AI367" s="169"/>
      <c r="AJ367" s="169"/>
      <c r="AK367" s="169"/>
      <c r="AL367" s="169"/>
      <c r="AM367" s="169"/>
      <c r="AN367" s="169"/>
      <c r="AO367" s="169"/>
      <c r="AP367" s="169"/>
      <c r="AQ367" s="169"/>
      <c r="AR367" s="169"/>
      <c r="AS367" s="169"/>
      <c r="AT367" s="169"/>
      <c r="AU367" s="169"/>
      <c r="AV367" s="169"/>
      <c r="AW367" s="456"/>
      <c r="AX367" s="456"/>
      <c r="AY367" s="456"/>
      <c r="AZ367" s="456"/>
      <c r="BA367" s="456"/>
      <c r="CV367" s="456"/>
      <c r="CW367" s="456"/>
      <c r="CX367" s="456"/>
      <c r="CY367" s="456"/>
      <c r="CZ367" s="456"/>
      <c r="DA367" s="456"/>
      <c r="DB367" s="456"/>
      <c r="DC367" s="456"/>
      <c r="DD367" s="456"/>
      <c r="DE367" s="456"/>
      <c r="DF367" s="456"/>
      <c r="DG367" s="456"/>
      <c r="DH367" s="456"/>
      <c r="DI367" s="456"/>
      <c r="DJ367" s="456"/>
      <c r="DK367" s="456"/>
      <c r="DL367" s="456"/>
      <c r="DM367" s="456"/>
      <c r="DN367" s="456"/>
      <c r="DO367" s="456"/>
      <c r="DP367" s="456"/>
      <c r="DQ367" s="456"/>
    </row>
    <row r="368" spans="2:121" s="455" customFormat="1" ht="15">
      <c r="B368" s="515" t="s">
        <v>958</v>
      </c>
      <c r="C368" s="31"/>
      <c r="D368" s="31"/>
      <c r="E368" s="31"/>
      <c r="F368" s="31"/>
      <c r="G368" s="31"/>
      <c r="H368" s="31"/>
      <c r="I368" s="31"/>
      <c r="J368" s="31"/>
      <c r="K368" s="31"/>
      <c r="L368" s="31"/>
      <c r="M368" s="31"/>
      <c r="N368" s="31"/>
      <c r="O368" s="457"/>
      <c r="P368" s="457"/>
      <c r="S368" s="169"/>
      <c r="T368" s="169"/>
      <c r="U368" s="169"/>
      <c r="V368" s="169"/>
      <c r="W368" s="169"/>
      <c r="X368" s="169"/>
      <c r="Y368" s="169"/>
      <c r="Z368" s="169"/>
      <c r="AA368" s="169"/>
      <c r="AB368" s="169"/>
      <c r="AC368" s="169"/>
      <c r="AD368" s="169"/>
      <c r="AE368" s="169"/>
      <c r="AF368" s="169"/>
      <c r="AG368" s="169"/>
      <c r="AH368" s="169"/>
      <c r="AI368" s="169"/>
      <c r="AJ368" s="169"/>
      <c r="AK368" s="169"/>
      <c r="AL368" s="169"/>
      <c r="AM368" s="169"/>
      <c r="AN368" s="169"/>
      <c r="AO368" s="169"/>
      <c r="AP368" s="169"/>
      <c r="AQ368" s="169"/>
      <c r="AR368" s="169"/>
      <c r="AS368" s="169"/>
      <c r="AT368" s="169"/>
      <c r="AU368" s="169"/>
      <c r="AV368" s="169"/>
      <c r="AW368" s="456"/>
      <c r="AX368" s="456"/>
      <c r="AY368" s="456"/>
      <c r="AZ368" s="456"/>
      <c r="BA368" s="456"/>
      <c r="CV368" s="456"/>
      <c r="CW368" s="456"/>
      <c r="CX368" s="456"/>
      <c r="CY368" s="456"/>
      <c r="CZ368" s="456"/>
      <c r="DA368" s="456"/>
      <c r="DB368" s="456"/>
      <c r="DC368" s="456"/>
      <c r="DD368" s="456"/>
      <c r="DE368" s="456"/>
      <c r="DF368" s="456"/>
      <c r="DG368" s="456"/>
      <c r="DH368" s="456"/>
      <c r="DI368" s="456"/>
      <c r="DJ368" s="456"/>
      <c r="DK368" s="456"/>
      <c r="DL368" s="456"/>
      <c r="DM368" s="456"/>
      <c r="DN368" s="456"/>
      <c r="DO368" s="456"/>
      <c r="DP368" s="456"/>
      <c r="DQ368" s="456"/>
    </row>
    <row r="369" ht="14.25">
      <c r="B369" s="388" t="s">
        <v>1065</v>
      </c>
    </row>
    <row r="370" spans="2:121" s="455" customFormat="1" ht="14.25">
      <c r="B370" s="388" t="s">
        <v>1064</v>
      </c>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456"/>
      <c r="AX370" s="456"/>
      <c r="AY370" s="456"/>
      <c r="AZ370" s="456"/>
      <c r="BA370" s="456"/>
      <c r="CV370" s="456"/>
      <c r="CW370" s="456"/>
      <c r="CX370" s="456"/>
      <c r="CY370" s="456"/>
      <c r="CZ370" s="456"/>
      <c r="DA370" s="456"/>
      <c r="DB370" s="456"/>
      <c r="DC370" s="456"/>
      <c r="DD370" s="456"/>
      <c r="DE370" s="456"/>
      <c r="DF370" s="456"/>
      <c r="DG370" s="456"/>
      <c r="DH370" s="456"/>
      <c r="DI370" s="456"/>
      <c r="DJ370" s="456"/>
      <c r="DK370" s="456"/>
      <c r="DL370" s="456"/>
      <c r="DM370" s="456"/>
      <c r="DN370" s="456"/>
      <c r="DO370" s="456"/>
      <c r="DP370" s="456"/>
      <c r="DQ370" s="456"/>
    </row>
    <row r="371" spans="2:121" s="455" customFormat="1" ht="14.25">
      <c r="B371" s="388"/>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456"/>
      <c r="AX371" s="456"/>
      <c r="AY371" s="456"/>
      <c r="AZ371" s="456"/>
      <c r="BA371" s="456"/>
      <c r="CV371" s="456"/>
      <c r="CW371" s="456"/>
      <c r="CX371" s="456"/>
      <c r="CY371" s="456"/>
      <c r="CZ371" s="456"/>
      <c r="DA371" s="456"/>
      <c r="DB371" s="456"/>
      <c r="DC371" s="456"/>
      <c r="DD371" s="456"/>
      <c r="DE371" s="456"/>
      <c r="DF371" s="456"/>
      <c r="DG371" s="456"/>
      <c r="DH371" s="456"/>
      <c r="DI371" s="456"/>
      <c r="DJ371" s="456"/>
      <c r="DK371" s="456"/>
      <c r="DL371" s="456"/>
      <c r="DM371" s="456"/>
      <c r="DN371" s="456"/>
      <c r="DO371" s="456"/>
      <c r="DP371" s="456"/>
      <c r="DQ371" s="456"/>
    </row>
    <row r="372" spans="2:121" s="455" customFormat="1" ht="14.25">
      <c r="B372" s="37"/>
      <c r="C372" s="37"/>
      <c r="D372" s="37"/>
      <c r="E372" s="37"/>
      <c r="F372" s="37"/>
      <c r="G372" s="37"/>
      <c r="H372" s="37"/>
      <c r="I372" s="37"/>
      <c r="J372" s="37"/>
      <c r="K372" s="37"/>
      <c r="L372" s="37"/>
      <c r="M372" s="37"/>
      <c r="N372" s="37"/>
      <c r="O372" s="457"/>
      <c r="P372" s="457"/>
      <c r="Q372" s="457"/>
      <c r="S372" s="169"/>
      <c r="T372" s="169"/>
      <c r="U372" s="169"/>
      <c r="V372" s="506"/>
      <c r="W372" s="506"/>
      <c r="X372" s="506"/>
      <c r="Y372" s="169"/>
      <c r="Z372" s="169"/>
      <c r="AA372" s="169"/>
      <c r="AB372" s="169"/>
      <c r="AC372" s="169"/>
      <c r="AD372" s="169"/>
      <c r="AE372" s="169"/>
      <c r="AF372" s="169"/>
      <c r="AG372" s="169"/>
      <c r="AH372" s="169"/>
      <c r="AI372" s="169"/>
      <c r="AJ372" s="169"/>
      <c r="AK372" s="169"/>
      <c r="AL372" s="169"/>
      <c r="AM372" s="169"/>
      <c r="AN372" s="169"/>
      <c r="AO372" s="169"/>
      <c r="AP372" s="169"/>
      <c r="AQ372" s="169"/>
      <c r="AR372" s="169"/>
      <c r="AS372" s="169"/>
      <c r="AT372" s="169"/>
      <c r="AU372" s="169"/>
      <c r="AV372" s="169"/>
      <c r="AW372" s="456"/>
      <c r="AX372" s="456"/>
      <c r="AY372" s="456"/>
      <c r="AZ372" s="456"/>
      <c r="BA372" s="456"/>
      <c r="CV372" s="456"/>
      <c r="CW372" s="456"/>
      <c r="CX372" s="456"/>
      <c r="CY372" s="456"/>
      <c r="CZ372" s="456"/>
      <c r="DA372" s="456"/>
      <c r="DB372" s="456"/>
      <c r="DC372" s="456"/>
      <c r="DD372" s="456"/>
      <c r="DE372" s="456"/>
      <c r="DF372" s="456"/>
      <c r="DG372" s="456"/>
      <c r="DH372" s="456"/>
      <c r="DI372" s="456"/>
      <c r="DJ372" s="456"/>
      <c r="DK372" s="456"/>
      <c r="DL372" s="456"/>
      <c r="DM372" s="456"/>
      <c r="DN372" s="456"/>
      <c r="DO372" s="456"/>
      <c r="DP372" s="456"/>
      <c r="DQ372" s="456"/>
    </row>
    <row r="373" spans="2:121" s="455" customFormat="1" ht="21">
      <c r="B373" s="514" t="s">
        <v>901</v>
      </c>
      <c r="C373" s="511"/>
      <c r="D373" s="31"/>
      <c r="E373" s="31"/>
      <c r="F373" s="31"/>
      <c r="G373" s="31"/>
      <c r="H373" s="58" t="s">
        <v>495</v>
      </c>
      <c r="I373" s="58"/>
      <c r="J373" s="58" t="s">
        <v>495</v>
      </c>
      <c r="K373" s="460"/>
      <c r="L373" s="460"/>
      <c r="M373" s="460"/>
      <c r="N373" s="460"/>
      <c r="O373" s="460"/>
      <c r="P373" s="460"/>
      <c r="Q373" s="457"/>
      <c r="S373" s="169"/>
      <c r="T373" s="506"/>
      <c r="U373" s="169"/>
      <c r="V373" s="169"/>
      <c r="W373" s="169"/>
      <c r="X373" s="169"/>
      <c r="Y373" s="169"/>
      <c r="Z373" s="169"/>
      <c r="AA373" s="169"/>
      <c r="AB373" s="169"/>
      <c r="AC373" s="169"/>
      <c r="AD373" s="169"/>
      <c r="AE373" s="169"/>
      <c r="AF373" s="169"/>
      <c r="AG373" s="169"/>
      <c r="AH373" s="169"/>
      <c r="AI373" s="169"/>
      <c r="AJ373" s="169"/>
      <c r="AK373" s="169"/>
      <c r="AL373" s="169"/>
      <c r="AM373" s="169"/>
      <c r="AN373" s="169"/>
      <c r="AO373" s="169"/>
      <c r="AP373" s="169"/>
      <c r="AQ373" s="169"/>
      <c r="AR373" s="169"/>
      <c r="AS373" s="169"/>
      <c r="AT373" s="169"/>
      <c r="AU373" s="169"/>
      <c r="AV373" s="169"/>
      <c r="AW373" s="456"/>
      <c r="AX373" s="456"/>
      <c r="AY373" s="456"/>
      <c r="AZ373" s="456"/>
      <c r="BA373" s="456"/>
      <c r="CV373" s="456"/>
      <c r="CW373" s="456"/>
      <c r="CX373" s="456"/>
      <c r="CY373" s="456"/>
      <c r="CZ373" s="456"/>
      <c r="DA373" s="456"/>
      <c r="DB373" s="456"/>
      <c r="DC373" s="456"/>
      <c r="DD373" s="456"/>
      <c r="DE373" s="456"/>
      <c r="DF373" s="456"/>
      <c r="DG373" s="456"/>
      <c r="DH373" s="456"/>
      <c r="DI373" s="456"/>
      <c r="DJ373" s="456"/>
      <c r="DK373" s="456"/>
      <c r="DL373" s="456"/>
      <c r="DM373" s="456"/>
      <c r="DN373" s="456"/>
      <c r="DO373" s="456"/>
      <c r="DP373" s="456"/>
      <c r="DQ373" s="456"/>
    </row>
    <row r="374" spans="2:121" s="455" customFormat="1" ht="21">
      <c r="B374" s="514" t="s">
        <v>2</v>
      </c>
      <c r="C374" s="511"/>
      <c r="D374" s="31"/>
      <c r="E374" s="31"/>
      <c r="F374" s="31"/>
      <c r="G374" s="31"/>
      <c r="H374" s="32">
        <v>2023</v>
      </c>
      <c r="I374" s="32"/>
      <c r="J374" s="451">
        <v>2022</v>
      </c>
      <c r="K374" s="460"/>
      <c r="L374" s="460"/>
      <c r="M374" s="460"/>
      <c r="N374" s="460"/>
      <c r="O374" s="460"/>
      <c r="P374" s="460"/>
      <c r="Q374" s="457"/>
      <c r="S374" s="169"/>
      <c r="T374" s="169"/>
      <c r="U374" s="169"/>
      <c r="V374" s="169"/>
      <c r="W374" s="169"/>
      <c r="X374" s="169"/>
      <c r="Y374" s="169"/>
      <c r="Z374" s="169"/>
      <c r="AA374" s="169"/>
      <c r="AB374" s="169"/>
      <c r="AC374" s="169"/>
      <c r="AD374" s="169"/>
      <c r="AE374" s="169"/>
      <c r="AF374" s="169"/>
      <c r="AG374" s="169"/>
      <c r="AH374" s="169"/>
      <c r="AI374" s="169"/>
      <c r="AJ374" s="169"/>
      <c r="AK374" s="169"/>
      <c r="AL374" s="169"/>
      <c r="AM374" s="169"/>
      <c r="AN374" s="169"/>
      <c r="AO374" s="169"/>
      <c r="AP374" s="169"/>
      <c r="AQ374" s="169"/>
      <c r="AR374" s="169"/>
      <c r="AS374" s="169"/>
      <c r="AT374" s="169"/>
      <c r="AU374" s="169"/>
      <c r="AV374" s="169"/>
      <c r="AW374" s="456"/>
      <c r="AX374" s="456"/>
      <c r="AY374" s="456"/>
      <c r="AZ374" s="456"/>
      <c r="BA374" s="456"/>
      <c r="CV374" s="456"/>
      <c r="CW374" s="456"/>
      <c r="CX374" s="456"/>
      <c r="CY374" s="456"/>
      <c r="CZ374" s="456"/>
      <c r="DA374" s="456"/>
      <c r="DB374" s="456"/>
      <c r="DC374" s="456"/>
      <c r="DD374" s="456"/>
      <c r="DE374" s="456"/>
      <c r="DF374" s="456"/>
      <c r="DG374" s="456"/>
      <c r="DH374" s="456"/>
      <c r="DI374" s="456"/>
      <c r="DJ374" s="456"/>
      <c r="DK374" s="456"/>
      <c r="DL374" s="456"/>
      <c r="DM374" s="456"/>
      <c r="DN374" s="456"/>
      <c r="DO374" s="456"/>
      <c r="DP374" s="456"/>
      <c r="DQ374" s="456"/>
    </row>
    <row r="375" spans="2:17" ht="18">
      <c r="B375" s="511" t="s">
        <v>568</v>
      </c>
      <c r="C375" s="511"/>
      <c r="D375" s="31"/>
      <c r="E375" s="31"/>
      <c r="F375" s="31"/>
      <c r="G375" s="31"/>
      <c r="H375" s="725">
        <v>11361049.5</v>
      </c>
      <c r="I375" s="725"/>
      <c r="J375" s="731">
        <v>10358943.83</v>
      </c>
      <c r="K375" s="79">
        <v>9964609.94</v>
      </c>
      <c r="L375" s="79">
        <v>8082337.51</v>
      </c>
      <c r="M375" s="79">
        <v>6118514.95</v>
      </c>
      <c r="N375" s="79">
        <f>4355546.44+454.5</f>
        <v>4356000.94</v>
      </c>
      <c r="O375" s="79">
        <v>3624810.77</v>
      </c>
      <c r="P375" s="79">
        <v>2393263.55</v>
      </c>
      <c r="Q375" s="17">
        <v>2660529.69</v>
      </c>
    </row>
    <row r="376" spans="2:17" ht="18">
      <c r="B376" s="511" t="s">
        <v>569</v>
      </c>
      <c r="C376" s="511"/>
      <c r="D376" s="31"/>
      <c r="E376" s="31"/>
      <c r="F376" s="31"/>
      <c r="G376" s="31"/>
      <c r="H376" s="725">
        <v>24637.2</v>
      </c>
      <c r="I376" s="725"/>
      <c r="J376" s="731">
        <v>26592.4</v>
      </c>
      <c r="K376" s="79">
        <v>100466.91</v>
      </c>
      <c r="L376" s="79">
        <v>96720.99</v>
      </c>
      <c r="M376" s="79">
        <v>181877.69</v>
      </c>
      <c r="N376" s="79">
        <v>158892.5</v>
      </c>
      <c r="O376" s="79">
        <v>90816.4</v>
      </c>
      <c r="P376" s="79">
        <v>132033.15</v>
      </c>
      <c r="Q376" s="17">
        <v>156522.43</v>
      </c>
    </row>
    <row r="377" spans="2:17" ht="18" hidden="1">
      <c r="B377" s="511" t="s">
        <v>641</v>
      </c>
      <c r="C377" s="511"/>
      <c r="D377" s="31"/>
      <c r="E377" s="31"/>
      <c r="F377" s="31"/>
      <c r="G377" s="31"/>
      <c r="H377" s="725"/>
      <c r="I377" s="725"/>
      <c r="J377" s="731"/>
      <c r="K377" s="79"/>
      <c r="L377" s="79">
        <v>6959.29</v>
      </c>
      <c r="M377" s="79"/>
      <c r="N377" s="79"/>
      <c r="O377" s="79"/>
      <c r="P377" s="79"/>
      <c r="Q377" s="17"/>
    </row>
    <row r="378" spans="2:17" ht="18">
      <c r="B378" s="511" t="s">
        <v>567</v>
      </c>
      <c r="C378" s="511"/>
      <c r="D378" s="31"/>
      <c r="E378" s="31"/>
      <c r="F378" s="31"/>
      <c r="G378" s="31"/>
      <c r="H378" s="725">
        <v>9113.15</v>
      </c>
      <c r="I378" s="725"/>
      <c r="J378" s="731">
        <v>9949.26</v>
      </c>
      <c r="K378" s="79">
        <v>11054.26</v>
      </c>
      <c r="L378" s="79">
        <v>5825.04</v>
      </c>
      <c r="M378" s="79">
        <v>8553.14</v>
      </c>
      <c r="N378" s="79">
        <v>10150.62</v>
      </c>
      <c r="O378" s="79"/>
      <c r="P378" s="79">
        <v>8320.66</v>
      </c>
      <c r="Q378" s="17">
        <v>78671.71</v>
      </c>
    </row>
    <row r="379" spans="2:17" ht="23.25" customHeight="1" hidden="1">
      <c r="B379" s="511" t="s">
        <v>508</v>
      </c>
      <c r="C379" s="511"/>
      <c r="D379" s="31"/>
      <c r="E379" s="31"/>
      <c r="F379" s="31"/>
      <c r="G379" s="31"/>
      <c r="H379" s="725"/>
      <c r="I379" s="725"/>
      <c r="J379" s="731"/>
      <c r="K379" s="79"/>
      <c r="L379" s="79"/>
      <c r="M379" s="79">
        <f>44616.67-594.37</f>
        <v>44022.299999999996</v>
      </c>
      <c r="N379" s="79">
        <f>955061.43+29775+17265</f>
        <v>1002101.43</v>
      </c>
      <c r="O379" s="79"/>
      <c r="P379" s="79">
        <v>2193887.36</v>
      </c>
      <c r="Q379" s="17">
        <v>1539170.81</v>
      </c>
    </row>
    <row r="380" spans="2:121" s="4" customFormat="1" ht="18" hidden="1">
      <c r="B380" s="511" t="s">
        <v>832</v>
      </c>
      <c r="C380" s="511"/>
      <c r="D380" s="31"/>
      <c r="E380" s="31"/>
      <c r="F380" s="31"/>
      <c r="G380" s="31"/>
      <c r="H380" s="725"/>
      <c r="I380" s="725"/>
      <c r="J380" s="731"/>
      <c r="K380" s="79">
        <v>500</v>
      </c>
      <c r="L380" s="79"/>
      <c r="M380" s="79"/>
      <c r="N380" s="79"/>
      <c r="O380" s="79"/>
      <c r="P380" s="79"/>
      <c r="Q380" s="17"/>
      <c r="S380" s="169"/>
      <c r="T380" s="169"/>
      <c r="U380" s="169"/>
      <c r="V380" s="169"/>
      <c r="W380" s="169"/>
      <c r="X380" s="169"/>
      <c r="Y380" s="169"/>
      <c r="Z380" s="169"/>
      <c r="AA380" s="169"/>
      <c r="AB380" s="169"/>
      <c r="AC380" s="169"/>
      <c r="AD380" s="169"/>
      <c r="AE380" s="169"/>
      <c r="AF380" s="169"/>
      <c r="AG380" s="169"/>
      <c r="AH380" s="169"/>
      <c r="AI380" s="169"/>
      <c r="AJ380" s="169"/>
      <c r="AK380" s="169"/>
      <c r="AL380" s="169"/>
      <c r="AM380" s="169"/>
      <c r="AN380" s="169"/>
      <c r="AO380" s="169"/>
      <c r="AP380" s="169"/>
      <c r="AQ380" s="169"/>
      <c r="AR380" s="169"/>
      <c r="AS380" s="169"/>
      <c r="AT380" s="169"/>
      <c r="AU380" s="169"/>
      <c r="AV380" s="169"/>
      <c r="AW380" s="168"/>
      <c r="AX380" s="168"/>
      <c r="AY380" s="168"/>
      <c r="AZ380" s="168"/>
      <c r="BA380" s="168"/>
      <c r="CV380" s="456"/>
      <c r="CW380" s="456"/>
      <c r="CX380" s="456"/>
      <c r="CY380" s="456"/>
      <c r="CZ380" s="456"/>
      <c r="DA380" s="456"/>
      <c r="DB380" s="456"/>
      <c r="DC380" s="456"/>
      <c r="DD380" s="456"/>
      <c r="DE380" s="456"/>
      <c r="DF380" s="456"/>
      <c r="DG380" s="456"/>
      <c r="DH380" s="456"/>
      <c r="DI380" s="456"/>
      <c r="DJ380" s="456"/>
      <c r="DK380" s="456"/>
      <c r="DL380" s="456"/>
      <c r="DM380" s="456"/>
      <c r="DN380" s="456"/>
      <c r="DO380" s="456"/>
      <c r="DP380" s="456"/>
      <c r="DQ380" s="456"/>
    </row>
    <row r="381" spans="2:121" s="4" customFormat="1" ht="18">
      <c r="B381" s="511" t="s">
        <v>833</v>
      </c>
      <c r="C381" s="511"/>
      <c r="D381" s="31"/>
      <c r="E381" s="31"/>
      <c r="F381" s="31"/>
      <c r="G381" s="31"/>
      <c r="H381" s="725"/>
      <c r="I381" s="725"/>
      <c r="J381" s="731">
        <v>1319.25</v>
      </c>
      <c r="K381" s="389"/>
      <c r="L381" s="389"/>
      <c r="M381" s="389"/>
      <c r="N381" s="389"/>
      <c r="O381" s="389"/>
      <c r="P381" s="389"/>
      <c r="Q381" s="17"/>
      <c r="S381" s="169"/>
      <c r="T381" s="169"/>
      <c r="U381" s="169"/>
      <c r="V381" s="169"/>
      <c r="W381" s="169"/>
      <c r="X381" s="169"/>
      <c r="Y381" s="169"/>
      <c r="Z381" s="169"/>
      <c r="AA381" s="169"/>
      <c r="AB381" s="169"/>
      <c r="AC381" s="169"/>
      <c r="AD381" s="169"/>
      <c r="AE381" s="169"/>
      <c r="AF381" s="169"/>
      <c r="AG381" s="169"/>
      <c r="AH381" s="169"/>
      <c r="AI381" s="169"/>
      <c r="AJ381" s="169"/>
      <c r="AK381" s="169"/>
      <c r="AL381" s="169"/>
      <c r="AM381" s="169"/>
      <c r="AN381" s="169"/>
      <c r="AO381" s="169"/>
      <c r="AP381" s="169"/>
      <c r="AQ381" s="169"/>
      <c r="AR381" s="169"/>
      <c r="AS381" s="169"/>
      <c r="AT381" s="169"/>
      <c r="AU381" s="169"/>
      <c r="AV381" s="169"/>
      <c r="AW381" s="168"/>
      <c r="AX381" s="168"/>
      <c r="AY381" s="168"/>
      <c r="AZ381" s="168"/>
      <c r="BA381" s="168"/>
      <c r="CV381" s="456"/>
      <c r="CW381" s="456"/>
      <c r="CX381" s="456"/>
      <c r="CY381" s="456"/>
      <c r="CZ381" s="456"/>
      <c r="DA381" s="456"/>
      <c r="DB381" s="456"/>
      <c r="DC381" s="456"/>
      <c r="DD381" s="456"/>
      <c r="DE381" s="456"/>
      <c r="DF381" s="456"/>
      <c r="DG381" s="456"/>
      <c r="DH381" s="456"/>
      <c r="DI381" s="456"/>
      <c r="DJ381" s="456"/>
      <c r="DK381" s="456"/>
      <c r="DL381" s="456"/>
      <c r="DM381" s="456"/>
      <c r="DN381" s="456"/>
      <c r="DO381" s="456"/>
      <c r="DP381" s="456"/>
      <c r="DQ381" s="456"/>
    </row>
    <row r="382" spans="2:17" ht="18">
      <c r="B382" s="509"/>
      <c r="C382" s="509"/>
      <c r="D382" s="387"/>
      <c r="E382" s="387"/>
      <c r="F382" s="387"/>
      <c r="G382" s="387"/>
      <c r="H382" s="725"/>
      <c r="I382" s="725"/>
      <c r="J382" s="741"/>
      <c r="K382" s="79"/>
      <c r="L382" s="79">
        <f>8136.85+2.67</f>
        <v>8139.52</v>
      </c>
      <c r="M382" s="79">
        <v>15627.87</v>
      </c>
      <c r="N382" s="79">
        <f>8356.01+2.03</f>
        <v>8358.04</v>
      </c>
      <c r="O382" s="79">
        <f>52869.79-10976</f>
        <v>41893.79</v>
      </c>
      <c r="P382" s="79">
        <v>4659.98</v>
      </c>
      <c r="Q382" s="17">
        <v>43070.83</v>
      </c>
    </row>
    <row r="383" spans="2:17" ht="18" hidden="1">
      <c r="B383" s="511" t="s">
        <v>353</v>
      </c>
      <c r="C383" s="511"/>
      <c r="D383" s="31"/>
      <c r="E383" s="31"/>
      <c r="F383" s="31"/>
      <c r="G383" s="31"/>
      <c r="H383" s="725"/>
      <c r="I383" s="725"/>
      <c r="J383" s="731"/>
      <c r="K383" s="79"/>
      <c r="L383" s="79"/>
      <c r="M383" s="79"/>
      <c r="N383" s="79"/>
      <c r="O383" s="79">
        <v>5000</v>
      </c>
      <c r="P383" s="79"/>
      <c r="Q383" s="17"/>
    </row>
    <row r="384" spans="2:17" ht="18" hidden="1">
      <c r="B384" s="511" t="s">
        <v>354</v>
      </c>
      <c r="C384" s="511"/>
      <c r="D384" s="31"/>
      <c r="E384" s="31"/>
      <c r="F384" s="31"/>
      <c r="G384" s="31"/>
      <c r="H384" s="720"/>
      <c r="I384" s="720"/>
      <c r="J384" s="731"/>
      <c r="K384" s="79"/>
      <c r="L384" s="79"/>
      <c r="M384" s="79"/>
      <c r="N384" s="79"/>
      <c r="O384" s="79"/>
      <c r="P384" s="79"/>
      <c r="Q384" s="17"/>
    </row>
    <row r="385" spans="2:17" ht="18" hidden="1">
      <c r="B385" s="511" t="s">
        <v>352</v>
      </c>
      <c r="C385" s="511"/>
      <c r="D385" s="31"/>
      <c r="E385" s="31"/>
      <c r="F385" s="31"/>
      <c r="G385" s="31"/>
      <c r="H385" s="720"/>
      <c r="I385" s="720"/>
      <c r="J385" s="731"/>
      <c r="K385" s="79"/>
      <c r="L385" s="79"/>
      <c r="M385" s="79"/>
      <c r="N385" s="79"/>
      <c r="O385" s="79"/>
      <c r="P385" s="79"/>
      <c r="Q385" s="17"/>
    </row>
    <row r="386" spans="2:17" ht="18" hidden="1">
      <c r="B386" s="511" t="s">
        <v>507</v>
      </c>
      <c r="C386" s="511"/>
      <c r="D386" s="31"/>
      <c r="E386" s="31"/>
      <c r="F386" s="31"/>
      <c r="G386" s="31"/>
      <c r="H386" s="720"/>
      <c r="I386" s="720"/>
      <c r="J386" s="731"/>
      <c r="K386" s="79"/>
      <c r="L386" s="79"/>
      <c r="M386" s="79"/>
      <c r="N386" s="79"/>
      <c r="O386" s="79"/>
      <c r="P386" s="79"/>
      <c r="Q386" s="17">
        <v>198197.15</v>
      </c>
    </row>
    <row r="387" spans="2:17" ht="18" hidden="1">
      <c r="B387" s="511" t="s">
        <v>509</v>
      </c>
      <c r="C387" s="511"/>
      <c r="D387" s="31"/>
      <c r="E387" s="31"/>
      <c r="F387" s="31"/>
      <c r="G387" s="31"/>
      <c r="H387" s="720"/>
      <c r="I387" s="720"/>
      <c r="J387" s="731"/>
      <c r="K387" s="79"/>
      <c r="L387" s="79"/>
      <c r="M387" s="79"/>
      <c r="N387" s="79"/>
      <c r="O387" s="79"/>
      <c r="P387" s="79"/>
      <c r="Q387" s="17">
        <v>2064.48</v>
      </c>
    </row>
    <row r="388" spans="2:17" ht="18" thickBot="1">
      <c r="B388" s="450" t="s">
        <v>300</v>
      </c>
      <c r="C388" s="509"/>
      <c r="D388" s="387"/>
      <c r="E388" s="387"/>
      <c r="F388" s="387"/>
      <c r="G388" s="387"/>
      <c r="H388" s="738">
        <f>SUM(H375:H382)</f>
        <v>11394799.85</v>
      </c>
      <c r="I388" s="738"/>
      <c r="J388" s="738">
        <f>SUM(J375:J387)</f>
        <v>10396804.74</v>
      </c>
      <c r="K388" s="80">
        <f>SUM(K375:K387)</f>
        <v>10076631.11</v>
      </c>
      <c r="L388" s="80">
        <f aca="true" t="shared" si="4" ref="L388:Q388">SUM(L164:L387)</f>
        <v>87860061.52000003</v>
      </c>
      <c r="M388" s="80">
        <f t="shared" si="4"/>
        <v>73894907.96000001</v>
      </c>
      <c r="N388" s="80">
        <f t="shared" si="4"/>
        <v>75847671.77000003</v>
      </c>
      <c r="O388" s="36">
        <f t="shared" si="4"/>
        <v>65237880.55000001</v>
      </c>
      <c r="P388" s="47">
        <f t="shared" si="4"/>
        <v>68246409.19</v>
      </c>
      <c r="Q388" s="36">
        <f t="shared" si="4"/>
        <v>66110253.04</v>
      </c>
    </row>
    <row r="389" spans="2:17" ht="18" thickTop="1">
      <c r="B389" s="511"/>
      <c r="C389" s="511"/>
      <c r="D389" s="31"/>
      <c r="E389" s="31"/>
      <c r="F389" s="31"/>
      <c r="G389" s="31"/>
      <c r="H389" s="720"/>
      <c r="I389" s="720"/>
      <c r="J389" s="720"/>
      <c r="K389" s="31"/>
      <c r="L389" s="31"/>
      <c r="M389" s="31"/>
      <c r="N389" s="31"/>
      <c r="O389" s="17"/>
      <c r="P389" s="17"/>
      <c r="Q389" s="17"/>
    </row>
    <row r="390" spans="2:16" ht="14.25">
      <c r="B390" s="31" t="s">
        <v>943</v>
      </c>
      <c r="C390" s="31"/>
      <c r="D390" s="31"/>
      <c r="E390" s="31"/>
      <c r="F390" s="518">
        <f>57731.24+0.01</f>
        <v>57731.25</v>
      </c>
      <c r="G390" s="31"/>
      <c r="H390" s="725">
        <v>57731.24</v>
      </c>
      <c r="I390" s="725"/>
      <c r="J390" s="720"/>
      <c r="K390" s="31"/>
      <c r="L390" s="31"/>
      <c r="M390" s="31"/>
      <c r="N390" s="31"/>
      <c r="O390" s="17"/>
      <c r="P390" s="17"/>
    </row>
    <row r="391" spans="8:10" ht="14.25">
      <c r="H391" s="725"/>
      <c r="I391" s="725"/>
      <c r="J391" s="725"/>
    </row>
    <row r="392" spans="8:10" ht="15" thickBot="1">
      <c r="H392" s="725"/>
      <c r="I392" s="725"/>
      <c r="J392" s="725"/>
    </row>
    <row r="393" spans="2:121" s="455" customFormat="1" ht="15.75" thickBot="1">
      <c r="B393" s="40" t="s">
        <v>468</v>
      </c>
      <c r="C393" s="41"/>
      <c r="D393" s="41"/>
      <c r="E393" s="41"/>
      <c r="F393" s="519">
        <f>+F48+F87+F144+F299+F378+F389+F391</f>
        <v>0</v>
      </c>
      <c r="G393" s="519"/>
      <c r="H393" s="742">
        <f>+H48+H77+H140+H275+H366+H388+H390</f>
        <v>574123176.41</v>
      </c>
      <c r="I393" s="742"/>
      <c r="J393" s="743">
        <f>+J48+J77+J140+J275+J366+J388+J390</f>
        <v>516971090.21999997</v>
      </c>
      <c r="K393" s="520"/>
      <c r="O393" s="457"/>
      <c r="P393" s="457"/>
      <c r="S393" s="169"/>
      <c r="T393" s="169"/>
      <c r="U393" s="169"/>
      <c r="V393" s="169"/>
      <c r="W393" s="169"/>
      <c r="X393" s="169"/>
      <c r="Y393" s="169"/>
      <c r="Z393" s="169"/>
      <c r="AA393" s="169"/>
      <c r="AB393" s="169"/>
      <c r="AC393" s="169"/>
      <c r="AD393" s="169"/>
      <c r="AE393" s="169"/>
      <c r="AF393" s="169"/>
      <c r="AG393" s="169"/>
      <c r="AH393" s="169"/>
      <c r="AI393" s="169"/>
      <c r="AJ393" s="169"/>
      <c r="AK393" s="169"/>
      <c r="AL393" s="169"/>
      <c r="AM393" s="169"/>
      <c r="AN393" s="169"/>
      <c r="AO393" s="169"/>
      <c r="AP393" s="169"/>
      <c r="AQ393" s="169"/>
      <c r="AR393" s="169"/>
      <c r="AS393" s="169"/>
      <c r="AT393" s="169"/>
      <c r="AU393" s="169"/>
      <c r="AV393" s="169"/>
      <c r="AW393" s="456"/>
      <c r="AX393" s="456"/>
      <c r="AY393" s="456"/>
      <c r="AZ393" s="456"/>
      <c r="BA393" s="456"/>
      <c r="CV393" s="456"/>
      <c r="CW393" s="456"/>
      <c r="CX393" s="456"/>
      <c r="CY393" s="456"/>
      <c r="CZ393" s="456"/>
      <c r="DA393" s="456"/>
      <c r="DB393" s="456"/>
      <c r="DC393" s="456"/>
      <c r="DD393" s="456"/>
      <c r="DE393" s="456"/>
      <c r="DF393" s="456"/>
      <c r="DG393" s="456"/>
      <c r="DH393" s="456"/>
      <c r="DI393" s="456"/>
      <c r="DJ393" s="456"/>
      <c r="DK393" s="456"/>
      <c r="DL393" s="456"/>
      <c r="DM393" s="456"/>
      <c r="DN393" s="456"/>
      <c r="DO393" s="456"/>
      <c r="DP393" s="456"/>
      <c r="DQ393" s="456"/>
    </row>
    <row r="394" spans="8:121" s="455" customFormat="1" ht="14.25">
      <c r="H394" s="725"/>
      <c r="I394" s="725"/>
      <c r="J394" s="725"/>
      <c r="K394" s="410"/>
      <c r="O394" s="457"/>
      <c r="P394" s="457"/>
      <c r="S394" s="169"/>
      <c r="T394" s="169"/>
      <c r="U394" s="169"/>
      <c r="V394" s="169"/>
      <c r="W394" s="169"/>
      <c r="X394" s="169"/>
      <c r="Y394" s="169"/>
      <c r="Z394" s="169"/>
      <c r="AA394" s="169"/>
      <c r="AB394" s="169"/>
      <c r="AC394" s="169"/>
      <c r="AD394" s="169"/>
      <c r="AE394" s="169"/>
      <c r="AF394" s="169"/>
      <c r="AG394" s="169"/>
      <c r="AH394" s="169"/>
      <c r="AI394" s="169"/>
      <c r="AJ394" s="169"/>
      <c r="AK394" s="169"/>
      <c r="AL394" s="169"/>
      <c r="AM394" s="169"/>
      <c r="AN394" s="169"/>
      <c r="AO394" s="169"/>
      <c r="AP394" s="169"/>
      <c r="AQ394" s="169"/>
      <c r="AR394" s="169"/>
      <c r="AS394" s="169"/>
      <c r="AT394" s="169"/>
      <c r="AU394" s="169"/>
      <c r="AV394" s="169"/>
      <c r="AW394" s="456"/>
      <c r="AX394" s="456"/>
      <c r="AY394" s="456"/>
      <c r="AZ394" s="456"/>
      <c r="BA394" s="456"/>
      <c r="CV394" s="456"/>
      <c r="CW394" s="456"/>
      <c r="CX394" s="456"/>
      <c r="CY394" s="456"/>
      <c r="CZ394" s="456"/>
      <c r="DA394" s="456"/>
      <c r="DB394" s="456"/>
      <c r="DC394" s="456"/>
      <c r="DD394" s="456"/>
      <c r="DE394" s="456"/>
      <c r="DF394" s="456"/>
      <c r="DG394" s="456"/>
      <c r="DH394" s="456"/>
      <c r="DI394" s="456"/>
      <c r="DJ394" s="456"/>
      <c r="DK394" s="456"/>
      <c r="DL394" s="456"/>
      <c r="DM394" s="456"/>
      <c r="DN394" s="456"/>
      <c r="DO394" s="456"/>
      <c r="DP394" s="456"/>
      <c r="DQ394" s="456"/>
    </row>
    <row r="395" spans="10:121" s="455" customFormat="1" ht="14.25">
      <c r="J395" s="203"/>
      <c r="K395" s="410"/>
      <c r="O395" s="457"/>
      <c r="P395" s="457"/>
      <c r="S395" s="169"/>
      <c r="T395" s="169"/>
      <c r="U395" s="169"/>
      <c r="V395" s="169"/>
      <c r="W395" s="169"/>
      <c r="X395" s="169"/>
      <c r="Y395" s="169"/>
      <c r="Z395" s="169"/>
      <c r="AA395" s="169"/>
      <c r="AB395" s="169"/>
      <c r="AC395" s="169"/>
      <c r="AD395" s="169"/>
      <c r="AE395" s="169"/>
      <c r="AF395" s="169"/>
      <c r="AG395" s="169"/>
      <c r="AH395" s="169"/>
      <c r="AI395" s="169"/>
      <c r="AJ395" s="169"/>
      <c r="AK395" s="169"/>
      <c r="AL395" s="169"/>
      <c r="AM395" s="169"/>
      <c r="AN395" s="169"/>
      <c r="AO395" s="169"/>
      <c r="AP395" s="169"/>
      <c r="AQ395" s="169"/>
      <c r="AR395" s="169"/>
      <c r="AS395" s="169"/>
      <c r="AT395" s="169"/>
      <c r="AU395" s="169"/>
      <c r="AV395" s="169"/>
      <c r="AW395" s="456"/>
      <c r="AX395" s="456"/>
      <c r="AY395" s="456"/>
      <c r="AZ395" s="456"/>
      <c r="BA395" s="456"/>
      <c r="CV395" s="456"/>
      <c r="CW395" s="456"/>
      <c r="CX395" s="456"/>
      <c r="CY395" s="456"/>
      <c r="CZ395" s="456"/>
      <c r="DA395" s="456"/>
      <c r="DB395" s="456"/>
      <c r="DC395" s="456"/>
      <c r="DD395" s="456"/>
      <c r="DE395" s="456"/>
      <c r="DF395" s="456"/>
      <c r="DG395" s="456"/>
      <c r="DH395" s="456"/>
      <c r="DI395" s="456"/>
      <c r="DJ395" s="456"/>
      <c r="DK395" s="456"/>
      <c r="DL395" s="456"/>
      <c r="DM395" s="456"/>
      <c r="DN395" s="456"/>
      <c r="DO395" s="456"/>
      <c r="DP395" s="456"/>
      <c r="DQ395" s="456"/>
    </row>
    <row r="396" spans="10:121" s="455" customFormat="1" ht="14.25">
      <c r="J396" s="203"/>
      <c r="K396" s="410"/>
      <c r="O396" s="457"/>
      <c r="P396" s="457"/>
      <c r="S396" s="169"/>
      <c r="T396" s="169"/>
      <c r="U396" s="169"/>
      <c r="V396" s="169"/>
      <c r="W396" s="169"/>
      <c r="X396" s="169"/>
      <c r="Y396" s="169"/>
      <c r="Z396" s="169"/>
      <c r="AA396" s="169"/>
      <c r="AB396" s="169"/>
      <c r="AC396" s="169"/>
      <c r="AD396" s="169"/>
      <c r="AE396" s="169"/>
      <c r="AF396" s="169"/>
      <c r="AG396" s="169"/>
      <c r="AH396" s="169"/>
      <c r="AI396" s="169"/>
      <c r="AJ396" s="169"/>
      <c r="AK396" s="169"/>
      <c r="AL396" s="169"/>
      <c r="AM396" s="169"/>
      <c r="AN396" s="169"/>
      <c r="AO396" s="169"/>
      <c r="AP396" s="169"/>
      <c r="AQ396" s="169"/>
      <c r="AR396" s="169"/>
      <c r="AS396" s="169"/>
      <c r="AT396" s="169"/>
      <c r="AU396" s="169"/>
      <c r="AV396" s="169"/>
      <c r="AW396" s="456"/>
      <c r="AX396" s="456"/>
      <c r="AY396" s="456"/>
      <c r="AZ396" s="456"/>
      <c r="BA396" s="456"/>
      <c r="CV396" s="456"/>
      <c r="CW396" s="456"/>
      <c r="CX396" s="456"/>
      <c r="CY396" s="456"/>
      <c r="CZ396" s="456"/>
      <c r="DA396" s="456"/>
      <c r="DB396" s="456"/>
      <c r="DC396" s="456"/>
      <c r="DD396" s="456"/>
      <c r="DE396" s="456"/>
      <c r="DF396" s="456"/>
      <c r="DG396" s="456"/>
      <c r="DH396" s="456"/>
      <c r="DI396" s="456"/>
      <c r="DJ396" s="456"/>
      <c r="DK396" s="456"/>
      <c r="DL396" s="456"/>
      <c r="DM396" s="456"/>
      <c r="DN396" s="456"/>
      <c r="DO396" s="456"/>
      <c r="DP396" s="456"/>
      <c r="DQ396" s="456"/>
    </row>
    <row r="397" spans="10:121" s="455" customFormat="1" ht="14.25">
      <c r="J397" s="203"/>
      <c r="K397" s="410"/>
      <c r="O397" s="457"/>
      <c r="P397" s="457"/>
      <c r="S397" s="169"/>
      <c r="T397" s="169"/>
      <c r="U397" s="169"/>
      <c r="V397" s="169"/>
      <c r="W397" s="169"/>
      <c r="X397" s="169"/>
      <c r="Y397" s="169"/>
      <c r="Z397" s="169"/>
      <c r="AA397" s="169"/>
      <c r="AB397" s="169"/>
      <c r="AC397" s="169"/>
      <c r="AD397" s="169"/>
      <c r="AE397" s="169"/>
      <c r="AF397" s="169"/>
      <c r="AG397" s="169"/>
      <c r="AH397" s="169"/>
      <c r="AI397" s="169"/>
      <c r="AJ397" s="169"/>
      <c r="AK397" s="169"/>
      <c r="AL397" s="169"/>
      <c r="AM397" s="169"/>
      <c r="AN397" s="169"/>
      <c r="AO397" s="169"/>
      <c r="AP397" s="169"/>
      <c r="AQ397" s="169"/>
      <c r="AR397" s="169"/>
      <c r="AS397" s="169"/>
      <c r="AT397" s="169"/>
      <c r="AU397" s="169"/>
      <c r="AV397" s="169"/>
      <c r="AW397" s="456"/>
      <c r="AX397" s="456"/>
      <c r="AY397" s="456"/>
      <c r="AZ397" s="456"/>
      <c r="BA397" s="456"/>
      <c r="CV397" s="456"/>
      <c r="CW397" s="456"/>
      <c r="CX397" s="456"/>
      <c r="CY397" s="456"/>
      <c r="CZ397" s="456"/>
      <c r="DA397" s="456"/>
      <c r="DB397" s="456"/>
      <c r="DC397" s="456"/>
      <c r="DD397" s="456"/>
      <c r="DE397" s="456"/>
      <c r="DF397" s="456"/>
      <c r="DG397" s="456"/>
      <c r="DH397" s="456"/>
      <c r="DI397" s="456"/>
      <c r="DJ397" s="456"/>
      <c r="DK397" s="456"/>
      <c r="DL397" s="456"/>
      <c r="DM397" s="456"/>
      <c r="DN397" s="456"/>
      <c r="DO397" s="456"/>
      <c r="DP397" s="456"/>
      <c r="DQ397" s="456"/>
    </row>
    <row r="398" spans="10:121" s="455" customFormat="1" ht="14.25">
      <c r="J398" s="203"/>
      <c r="K398" s="410"/>
      <c r="O398" s="457"/>
      <c r="P398" s="457"/>
      <c r="S398" s="169"/>
      <c r="T398" s="169"/>
      <c r="U398" s="169"/>
      <c r="V398" s="169"/>
      <c r="W398" s="169"/>
      <c r="X398" s="169"/>
      <c r="Y398" s="169"/>
      <c r="Z398" s="169"/>
      <c r="AA398" s="169"/>
      <c r="AB398" s="169"/>
      <c r="AC398" s="169"/>
      <c r="AD398" s="169"/>
      <c r="AE398" s="169"/>
      <c r="AF398" s="169"/>
      <c r="AG398" s="169"/>
      <c r="AH398" s="169"/>
      <c r="AI398" s="169"/>
      <c r="AJ398" s="169"/>
      <c r="AK398" s="169"/>
      <c r="AL398" s="169"/>
      <c r="AM398" s="169"/>
      <c r="AN398" s="169"/>
      <c r="AO398" s="169"/>
      <c r="AP398" s="169"/>
      <c r="AQ398" s="169"/>
      <c r="AR398" s="169"/>
      <c r="AS398" s="169"/>
      <c r="AT398" s="169"/>
      <c r="AU398" s="169"/>
      <c r="AV398" s="169"/>
      <c r="AW398" s="456"/>
      <c r="AX398" s="456"/>
      <c r="AY398" s="456"/>
      <c r="AZ398" s="456"/>
      <c r="BA398" s="456"/>
      <c r="CV398" s="456"/>
      <c r="CW398" s="456"/>
      <c r="CX398" s="456"/>
      <c r="CY398" s="456"/>
      <c r="CZ398" s="456"/>
      <c r="DA398" s="456"/>
      <c r="DB398" s="456"/>
      <c r="DC398" s="456"/>
      <c r="DD398" s="456"/>
      <c r="DE398" s="456"/>
      <c r="DF398" s="456"/>
      <c r="DG398" s="456"/>
      <c r="DH398" s="456"/>
      <c r="DI398" s="456"/>
      <c r="DJ398" s="456"/>
      <c r="DK398" s="456"/>
      <c r="DL398" s="456"/>
      <c r="DM398" s="456"/>
      <c r="DN398" s="456"/>
      <c r="DO398" s="456"/>
      <c r="DP398" s="456"/>
      <c r="DQ398" s="456"/>
    </row>
    <row r="399" spans="10:121" s="455" customFormat="1" ht="14.25">
      <c r="J399" s="203"/>
      <c r="K399" s="410"/>
      <c r="O399" s="457"/>
      <c r="P399" s="457"/>
      <c r="S399" s="169"/>
      <c r="T399" s="169"/>
      <c r="U399" s="169"/>
      <c r="V399" s="169"/>
      <c r="W399" s="169"/>
      <c r="X399" s="169"/>
      <c r="Y399" s="169"/>
      <c r="Z399" s="169"/>
      <c r="AA399" s="169"/>
      <c r="AB399" s="169"/>
      <c r="AC399" s="169"/>
      <c r="AD399" s="169"/>
      <c r="AE399" s="169"/>
      <c r="AF399" s="169"/>
      <c r="AG399" s="169"/>
      <c r="AH399" s="169"/>
      <c r="AI399" s="169"/>
      <c r="AJ399" s="169"/>
      <c r="AK399" s="169"/>
      <c r="AL399" s="169"/>
      <c r="AM399" s="169"/>
      <c r="AN399" s="169"/>
      <c r="AO399" s="169"/>
      <c r="AP399" s="169"/>
      <c r="AQ399" s="169"/>
      <c r="AR399" s="169"/>
      <c r="AS399" s="169"/>
      <c r="AT399" s="169"/>
      <c r="AU399" s="169"/>
      <c r="AV399" s="169"/>
      <c r="AW399" s="456"/>
      <c r="AX399" s="456"/>
      <c r="AY399" s="456"/>
      <c r="AZ399" s="456"/>
      <c r="BA399" s="456"/>
      <c r="CV399" s="456"/>
      <c r="CW399" s="456"/>
      <c r="CX399" s="456"/>
      <c r="CY399" s="456"/>
      <c r="CZ399" s="456"/>
      <c r="DA399" s="456"/>
      <c r="DB399" s="456"/>
      <c r="DC399" s="456"/>
      <c r="DD399" s="456"/>
      <c r="DE399" s="456"/>
      <c r="DF399" s="456"/>
      <c r="DG399" s="456"/>
      <c r="DH399" s="456"/>
      <c r="DI399" s="456"/>
      <c r="DJ399" s="456"/>
      <c r="DK399" s="456"/>
      <c r="DL399" s="456"/>
      <c r="DM399" s="456"/>
      <c r="DN399" s="456"/>
      <c r="DO399" s="456"/>
      <c r="DP399" s="456"/>
      <c r="DQ399" s="456"/>
    </row>
    <row r="400" spans="10:121" s="455" customFormat="1" ht="14.25">
      <c r="J400" s="203"/>
      <c r="K400" s="410"/>
      <c r="O400" s="457"/>
      <c r="P400" s="457"/>
      <c r="S400" s="169"/>
      <c r="T400" s="169"/>
      <c r="U400" s="169"/>
      <c r="V400" s="169"/>
      <c r="W400" s="169"/>
      <c r="X400" s="169"/>
      <c r="Y400" s="169"/>
      <c r="Z400" s="169"/>
      <c r="AA400" s="169"/>
      <c r="AB400" s="169"/>
      <c r="AC400" s="169"/>
      <c r="AD400" s="169"/>
      <c r="AE400" s="169"/>
      <c r="AF400" s="169"/>
      <c r="AG400" s="169"/>
      <c r="AH400" s="169"/>
      <c r="AI400" s="169"/>
      <c r="AJ400" s="169"/>
      <c r="AK400" s="169"/>
      <c r="AL400" s="169"/>
      <c r="AM400" s="169"/>
      <c r="AN400" s="169"/>
      <c r="AO400" s="169"/>
      <c r="AP400" s="169"/>
      <c r="AQ400" s="169"/>
      <c r="AR400" s="169"/>
      <c r="AS400" s="169"/>
      <c r="AT400" s="169"/>
      <c r="AU400" s="169"/>
      <c r="AV400" s="169"/>
      <c r="AW400" s="456"/>
      <c r="AX400" s="456"/>
      <c r="AY400" s="456"/>
      <c r="AZ400" s="456"/>
      <c r="BA400" s="456"/>
      <c r="CV400" s="456"/>
      <c r="CW400" s="456"/>
      <c r="CX400" s="456"/>
      <c r="CY400" s="456"/>
      <c r="CZ400" s="456"/>
      <c r="DA400" s="456"/>
      <c r="DB400" s="456"/>
      <c r="DC400" s="456"/>
      <c r="DD400" s="456"/>
      <c r="DE400" s="456"/>
      <c r="DF400" s="456"/>
      <c r="DG400" s="456"/>
      <c r="DH400" s="456"/>
      <c r="DI400" s="456"/>
      <c r="DJ400" s="456"/>
      <c r="DK400" s="456"/>
      <c r="DL400" s="456"/>
      <c r="DM400" s="456"/>
      <c r="DN400" s="456"/>
      <c r="DO400" s="456"/>
      <c r="DP400" s="456"/>
      <c r="DQ400" s="456"/>
    </row>
    <row r="401" spans="10:121" s="455" customFormat="1" ht="14.25">
      <c r="J401" s="203"/>
      <c r="K401" s="410"/>
      <c r="O401" s="457"/>
      <c r="P401" s="457"/>
      <c r="S401" s="169"/>
      <c r="T401" s="169"/>
      <c r="U401" s="169"/>
      <c r="V401" s="169"/>
      <c r="W401" s="169"/>
      <c r="X401" s="169"/>
      <c r="Y401" s="169"/>
      <c r="Z401" s="169"/>
      <c r="AA401" s="169"/>
      <c r="AB401" s="169"/>
      <c r="AC401" s="169"/>
      <c r="AD401" s="169"/>
      <c r="AE401" s="169"/>
      <c r="AF401" s="169"/>
      <c r="AG401" s="169"/>
      <c r="AH401" s="169"/>
      <c r="AI401" s="169"/>
      <c r="AJ401" s="169"/>
      <c r="AK401" s="169"/>
      <c r="AL401" s="169"/>
      <c r="AM401" s="169"/>
      <c r="AN401" s="169"/>
      <c r="AO401" s="169"/>
      <c r="AP401" s="169"/>
      <c r="AQ401" s="169"/>
      <c r="AR401" s="169"/>
      <c r="AS401" s="169"/>
      <c r="AT401" s="169"/>
      <c r="AU401" s="169"/>
      <c r="AV401" s="169"/>
      <c r="AW401" s="456"/>
      <c r="AX401" s="456"/>
      <c r="AY401" s="456"/>
      <c r="AZ401" s="456"/>
      <c r="BA401" s="456"/>
      <c r="CV401" s="456"/>
      <c r="CW401" s="456"/>
      <c r="CX401" s="456"/>
      <c r="CY401" s="456"/>
      <c r="CZ401" s="456"/>
      <c r="DA401" s="456"/>
      <c r="DB401" s="456"/>
      <c r="DC401" s="456"/>
      <c r="DD401" s="456"/>
      <c r="DE401" s="456"/>
      <c r="DF401" s="456"/>
      <c r="DG401" s="456"/>
      <c r="DH401" s="456"/>
      <c r="DI401" s="456"/>
      <c r="DJ401" s="456"/>
      <c r="DK401" s="456"/>
      <c r="DL401" s="456"/>
      <c r="DM401" s="456"/>
      <c r="DN401" s="456"/>
      <c r="DO401" s="456"/>
      <c r="DP401" s="456"/>
      <c r="DQ401" s="456"/>
    </row>
    <row r="402" spans="10:121" s="455" customFormat="1" ht="14.25">
      <c r="J402" s="203"/>
      <c r="K402" s="410"/>
      <c r="O402" s="457"/>
      <c r="P402" s="457"/>
      <c r="S402" s="169"/>
      <c r="T402" s="169"/>
      <c r="U402" s="169"/>
      <c r="V402" s="169"/>
      <c r="W402" s="169"/>
      <c r="X402" s="169"/>
      <c r="Y402" s="169"/>
      <c r="Z402" s="169"/>
      <c r="AA402" s="169"/>
      <c r="AB402" s="169"/>
      <c r="AC402" s="169"/>
      <c r="AD402" s="169"/>
      <c r="AE402" s="169"/>
      <c r="AF402" s="169"/>
      <c r="AG402" s="169"/>
      <c r="AH402" s="169"/>
      <c r="AI402" s="169"/>
      <c r="AJ402" s="169"/>
      <c r="AK402" s="169"/>
      <c r="AL402" s="169"/>
      <c r="AM402" s="169"/>
      <c r="AN402" s="169"/>
      <c r="AO402" s="169"/>
      <c r="AP402" s="169"/>
      <c r="AQ402" s="169"/>
      <c r="AR402" s="169"/>
      <c r="AS402" s="169"/>
      <c r="AT402" s="169"/>
      <c r="AU402" s="169"/>
      <c r="AV402" s="169"/>
      <c r="AW402" s="456"/>
      <c r="AX402" s="456"/>
      <c r="AY402" s="456"/>
      <c r="AZ402" s="456"/>
      <c r="BA402" s="456"/>
      <c r="CV402" s="456"/>
      <c r="CW402" s="456"/>
      <c r="CX402" s="456"/>
      <c r="CY402" s="456"/>
      <c r="CZ402" s="456"/>
      <c r="DA402" s="456"/>
      <c r="DB402" s="456"/>
      <c r="DC402" s="456"/>
      <c r="DD402" s="456"/>
      <c r="DE402" s="456"/>
      <c r="DF402" s="456"/>
      <c r="DG402" s="456"/>
      <c r="DH402" s="456"/>
      <c r="DI402" s="456"/>
      <c r="DJ402" s="456"/>
      <c r="DK402" s="456"/>
      <c r="DL402" s="456"/>
      <c r="DM402" s="456"/>
      <c r="DN402" s="456"/>
      <c r="DO402" s="456"/>
      <c r="DP402" s="456"/>
      <c r="DQ402" s="456"/>
    </row>
    <row r="403" spans="10:121" s="455" customFormat="1" ht="14.25">
      <c r="J403" s="203"/>
      <c r="K403" s="410"/>
      <c r="O403" s="457"/>
      <c r="P403" s="457"/>
      <c r="S403" s="169"/>
      <c r="T403" s="169"/>
      <c r="U403" s="169"/>
      <c r="V403" s="169"/>
      <c r="W403" s="169"/>
      <c r="X403" s="169"/>
      <c r="Y403" s="169"/>
      <c r="Z403" s="169"/>
      <c r="AA403" s="169"/>
      <c r="AB403" s="169"/>
      <c r="AC403" s="169"/>
      <c r="AD403" s="169"/>
      <c r="AE403" s="169"/>
      <c r="AF403" s="169"/>
      <c r="AG403" s="169"/>
      <c r="AH403" s="169"/>
      <c r="AI403" s="169"/>
      <c r="AJ403" s="169"/>
      <c r="AK403" s="169"/>
      <c r="AL403" s="169"/>
      <c r="AM403" s="169"/>
      <c r="AN403" s="169"/>
      <c r="AO403" s="169"/>
      <c r="AP403" s="169"/>
      <c r="AQ403" s="169"/>
      <c r="AR403" s="169"/>
      <c r="AS403" s="169"/>
      <c r="AT403" s="169"/>
      <c r="AU403" s="169"/>
      <c r="AV403" s="169"/>
      <c r="AW403" s="456"/>
      <c r="AX403" s="456"/>
      <c r="AY403" s="456"/>
      <c r="AZ403" s="456"/>
      <c r="BA403" s="456"/>
      <c r="CV403" s="456"/>
      <c r="CW403" s="456"/>
      <c r="CX403" s="456"/>
      <c r="CY403" s="456"/>
      <c r="CZ403" s="456"/>
      <c r="DA403" s="456"/>
      <c r="DB403" s="456"/>
      <c r="DC403" s="456"/>
      <c r="DD403" s="456"/>
      <c r="DE403" s="456"/>
      <c r="DF403" s="456"/>
      <c r="DG403" s="456"/>
      <c r="DH403" s="456"/>
      <c r="DI403" s="456"/>
      <c r="DJ403" s="456"/>
      <c r="DK403" s="456"/>
      <c r="DL403" s="456"/>
      <c r="DM403" s="456"/>
      <c r="DN403" s="456"/>
      <c r="DO403" s="456"/>
      <c r="DP403" s="456"/>
      <c r="DQ403" s="456"/>
    </row>
    <row r="404" spans="10:121" s="455" customFormat="1" ht="14.25">
      <c r="J404" s="203"/>
      <c r="K404" s="410"/>
      <c r="O404" s="457"/>
      <c r="P404" s="457"/>
      <c r="S404" s="169"/>
      <c r="T404" s="169"/>
      <c r="U404" s="169"/>
      <c r="V404" s="169"/>
      <c r="W404" s="169"/>
      <c r="X404" s="169"/>
      <c r="Y404" s="169"/>
      <c r="Z404" s="169"/>
      <c r="AA404" s="169"/>
      <c r="AB404" s="169"/>
      <c r="AC404" s="169"/>
      <c r="AD404" s="169"/>
      <c r="AE404" s="169"/>
      <c r="AF404" s="169"/>
      <c r="AG404" s="169"/>
      <c r="AH404" s="169"/>
      <c r="AI404" s="169"/>
      <c r="AJ404" s="169"/>
      <c r="AK404" s="169"/>
      <c r="AL404" s="169"/>
      <c r="AM404" s="169"/>
      <c r="AN404" s="169"/>
      <c r="AO404" s="169"/>
      <c r="AP404" s="169"/>
      <c r="AQ404" s="169"/>
      <c r="AR404" s="169"/>
      <c r="AS404" s="169"/>
      <c r="AT404" s="169"/>
      <c r="AU404" s="169"/>
      <c r="AV404" s="169"/>
      <c r="AW404" s="456"/>
      <c r="AX404" s="456"/>
      <c r="AY404" s="456"/>
      <c r="AZ404" s="456"/>
      <c r="BA404" s="456"/>
      <c r="CV404" s="456"/>
      <c r="CW404" s="456"/>
      <c r="CX404" s="456"/>
      <c r="CY404" s="456"/>
      <c r="CZ404" s="456"/>
      <c r="DA404" s="456"/>
      <c r="DB404" s="456"/>
      <c r="DC404" s="456"/>
      <c r="DD404" s="456"/>
      <c r="DE404" s="456"/>
      <c r="DF404" s="456"/>
      <c r="DG404" s="456"/>
      <c r="DH404" s="456"/>
      <c r="DI404" s="456"/>
      <c r="DJ404" s="456"/>
      <c r="DK404" s="456"/>
      <c r="DL404" s="456"/>
      <c r="DM404" s="456"/>
      <c r="DN404" s="456"/>
      <c r="DO404" s="456"/>
      <c r="DP404" s="456"/>
      <c r="DQ404" s="456"/>
    </row>
    <row r="405" spans="10:121" s="455" customFormat="1" ht="14.25">
      <c r="J405" s="203"/>
      <c r="K405" s="410"/>
      <c r="O405" s="457"/>
      <c r="P405" s="457"/>
      <c r="S405" s="169"/>
      <c r="T405" s="169"/>
      <c r="U405" s="169"/>
      <c r="V405" s="169"/>
      <c r="W405" s="169"/>
      <c r="X405" s="169"/>
      <c r="Y405" s="169"/>
      <c r="Z405" s="169"/>
      <c r="AA405" s="169"/>
      <c r="AB405" s="169"/>
      <c r="AC405" s="169"/>
      <c r="AD405" s="169"/>
      <c r="AE405" s="169"/>
      <c r="AF405" s="169"/>
      <c r="AG405" s="169"/>
      <c r="AH405" s="169"/>
      <c r="AI405" s="169"/>
      <c r="AJ405" s="169"/>
      <c r="AK405" s="169"/>
      <c r="AL405" s="169"/>
      <c r="AM405" s="169"/>
      <c r="AN405" s="169"/>
      <c r="AO405" s="169"/>
      <c r="AP405" s="169"/>
      <c r="AQ405" s="169"/>
      <c r="AR405" s="169"/>
      <c r="AS405" s="169"/>
      <c r="AT405" s="169"/>
      <c r="AU405" s="169"/>
      <c r="AV405" s="169"/>
      <c r="AW405" s="456"/>
      <c r="AX405" s="456"/>
      <c r="AY405" s="456"/>
      <c r="AZ405" s="456"/>
      <c r="BA405" s="456"/>
      <c r="CV405" s="456"/>
      <c r="CW405" s="456"/>
      <c r="CX405" s="456"/>
      <c r="CY405" s="456"/>
      <c r="CZ405" s="456"/>
      <c r="DA405" s="456"/>
      <c r="DB405" s="456"/>
      <c r="DC405" s="456"/>
      <c r="DD405" s="456"/>
      <c r="DE405" s="456"/>
      <c r="DF405" s="456"/>
      <c r="DG405" s="456"/>
      <c r="DH405" s="456"/>
      <c r="DI405" s="456"/>
      <c r="DJ405" s="456"/>
      <c r="DK405" s="456"/>
      <c r="DL405" s="456"/>
      <c r="DM405" s="456"/>
      <c r="DN405" s="456"/>
      <c r="DO405" s="456"/>
      <c r="DP405" s="456"/>
      <c r="DQ405" s="456"/>
    </row>
    <row r="406" spans="10:121" s="455" customFormat="1" ht="14.25">
      <c r="J406" s="203"/>
      <c r="K406" s="410"/>
      <c r="O406" s="457"/>
      <c r="P406" s="457"/>
      <c r="S406" s="169"/>
      <c r="T406" s="169"/>
      <c r="U406" s="169"/>
      <c r="V406" s="169"/>
      <c r="W406" s="169"/>
      <c r="X406" s="169"/>
      <c r="Y406" s="169"/>
      <c r="Z406" s="169"/>
      <c r="AA406" s="169"/>
      <c r="AB406" s="169"/>
      <c r="AC406" s="169"/>
      <c r="AD406" s="169"/>
      <c r="AE406" s="169"/>
      <c r="AF406" s="169"/>
      <c r="AG406" s="169"/>
      <c r="AH406" s="169"/>
      <c r="AI406" s="169"/>
      <c r="AJ406" s="169"/>
      <c r="AK406" s="169"/>
      <c r="AL406" s="169"/>
      <c r="AM406" s="169"/>
      <c r="AN406" s="169"/>
      <c r="AO406" s="169"/>
      <c r="AP406" s="169"/>
      <c r="AQ406" s="169"/>
      <c r="AR406" s="169"/>
      <c r="AS406" s="169"/>
      <c r="AT406" s="169"/>
      <c r="AU406" s="169"/>
      <c r="AV406" s="169"/>
      <c r="AW406" s="456"/>
      <c r="AX406" s="456"/>
      <c r="AY406" s="456"/>
      <c r="AZ406" s="456"/>
      <c r="BA406" s="456"/>
      <c r="CV406" s="456"/>
      <c r="CW406" s="456"/>
      <c r="CX406" s="456"/>
      <c r="CY406" s="456"/>
      <c r="CZ406" s="456"/>
      <c r="DA406" s="456"/>
      <c r="DB406" s="456"/>
      <c r="DC406" s="456"/>
      <c r="DD406" s="456"/>
      <c r="DE406" s="456"/>
      <c r="DF406" s="456"/>
      <c r="DG406" s="456"/>
      <c r="DH406" s="456"/>
      <c r="DI406" s="456"/>
      <c r="DJ406" s="456"/>
      <c r="DK406" s="456"/>
      <c r="DL406" s="456"/>
      <c r="DM406" s="456"/>
      <c r="DN406" s="456"/>
      <c r="DO406" s="456"/>
      <c r="DP406" s="456"/>
      <c r="DQ406" s="456"/>
    </row>
    <row r="407" spans="10:121" s="455" customFormat="1" ht="14.25">
      <c r="J407" s="203"/>
      <c r="K407" s="410"/>
      <c r="O407" s="457"/>
      <c r="P407" s="457"/>
      <c r="S407" s="169"/>
      <c r="T407" s="169"/>
      <c r="U407" s="169"/>
      <c r="V407" s="169"/>
      <c r="W407" s="169"/>
      <c r="X407" s="169"/>
      <c r="Y407" s="169"/>
      <c r="Z407" s="169"/>
      <c r="AA407" s="169"/>
      <c r="AB407" s="169"/>
      <c r="AC407" s="169"/>
      <c r="AD407" s="169"/>
      <c r="AE407" s="169"/>
      <c r="AF407" s="169"/>
      <c r="AG407" s="169"/>
      <c r="AH407" s="169"/>
      <c r="AI407" s="169"/>
      <c r="AJ407" s="169"/>
      <c r="AK407" s="169"/>
      <c r="AL407" s="169"/>
      <c r="AM407" s="169"/>
      <c r="AN407" s="169"/>
      <c r="AO407" s="169"/>
      <c r="AP407" s="169"/>
      <c r="AQ407" s="169"/>
      <c r="AR407" s="169"/>
      <c r="AS407" s="169"/>
      <c r="AT407" s="169"/>
      <c r="AU407" s="169"/>
      <c r="AV407" s="169"/>
      <c r="AW407" s="456"/>
      <c r="AX407" s="456"/>
      <c r="AY407" s="456"/>
      <c r="AZ407" s="456"/>
      <c r="BA407" s="456"/>
      <c r="CV407" s="456"/>
      <c r="CW407" s="456"/>
      <c r="CX407" s="456"/>
      <c r="CY407" s="456"/>
      <c r="CZ407" s="456"/>
      <c r="DA407" s="456"/>
      <c r="DB407" s="456"/>
      <c r="DC407" s="456"/>
      <c r="DD407" s="456"/>
      <c r="DE407" s="456"/>
      <c r="DF407" s="456"/>
      <c r="DG407" s="456"/>
      <c r="DH407" s="456"/>
      <c r="DI407" s="456"/>
      <c r="DJ407" s="456"/>
      <c r="DK407" s="456"/>
      <c r="DL407" s="456"/>
      <c r="DM407" s="456"/>
      <c r="DN407" s="456"/>
      <c r="DO407" s="456"/>
      <c r="DP407" s="456"/>
      <c r="DQ407" s="456"/>
    </row>
    <row r="408" spans="10:121" s="455" customFormat="1" ht="14.25">
      <c r="J408" s="203"/>
      <c r="K408" s="410"/>
      <c r="O408" s="457"/>
      <c r="P408" s="457"/>
      <c r="S408" s="169"/>
      <c r="T408" s="169"/>
      <c r="U408" s="169"/>
      <c r="V408" s="169"/>
      <c r="W408" s="169"/>
      <c r="X408" s="169"/>
      <c r="Y408" s="169"/>
      <c r="Z408" s="169"/>
      <c r="AA408" s="169"/>
      <c r="AB408" s="169"/>
      <c r="AC408" s="169"/>
      <c r="AD408" s="169"/>
      <c r="AE408" s="169"/>
      <c r="AF408" s="169"/>
      <c r="AG408" s="169"/>
      <c r="AH408" s="169"/>
      <c r="AI408" s="169"/>
      <c r="AJ408" s="169"/>
      <c r="AK408" s="169"/>
      <c r="AL408" s="169"/>
      <c r="AM408" s="169"/>
      <c r="AN408" s="169"/>
      <c r="AO408" s="169"/>
      <c r="AP408" s="169"/>
      <c r="AQ408" s="169"/>
      <c r="AR408" s="169"/>
      <c r="AS408" s="169"/>
      <c r="AT408" s="169"/>
      <c r="AU408" s="169"/>
      <c r="AV408" s="169"/>
      <c r="AW408" s="456"/>
      <c r="AX408" s="456"/>
      <c r="AY408" s="456"/>
      <c r="AZ408" s="456"/>
      <c r="BA408" s="456"/>
      <c r="CV408" s="456"/>
      <c r="CW408" s="456"/>
      <c r="CX408" s="456"/>
      <c r="CY408" s="456"/>
      <c r="CZ408" s="456"/>
      <c r="DA408" s="456"/>
      <c r="DB408" s="456"/>
      <c r="DC408" s="456"/>
      <c r="DD408" s="456"/>
      <c r="DE408" s="456"/>
      <c r="DF408" s="456"/>
      <c r="DG408" s="456"/>
      <c r="DH408" s="456"/>
      <c r="DI408" s="456"/>
      <c r="DJ408" s="456"/>
      <c r="DK408" s="456"/>
      <c r="DL408" s="456"/>
      <c r="DM408" s="456"/>
      <c r="DN408" s="456"/>
      <c r="DO408" s="456"/>
      <c r="DP408" s="456"/>
      <c r="DQ408" s="456"/>
    </row>
    <row r="409" spans="10:121" s="455" customFormat="1" ht="14.25">
      <c r="J409" s="203"/>
      <c r="K409" s="410"/>
      <c r="O409" s="457"/>
      <c r="P409" s="457"/>
      <c r="S409" s="169"/>
      <c r="T409" s="169"/>
      <c r="U409" s="169"/>
      <c r="V409" s="169"/>
      <c r="W409" s="169"/>
      <c r="X409" s="169"/>
      <c r="Y409" s="169"/>
      <c r="Z409" s="169"/>
      <c r="AA409" s="169"/>
      <c r="AB409" s="169"/>
      <c r="AC409" s="169"/>
      <c r="AD409" s="169"/>
      <c r="AE409" s="169"/>
      <c r="AF409" s="169"/>
      <c r="AG409" s="169"/>
      <c r="AH409" s="169"/>
      <c r="AI409" s="169"/>
      <c r="AJ409" s="169"/>
      <c r="AK409" s="169"/>
      <c r="AL409" s="169"/>
      <c r="AM409" s="169"/>
      <c r="AN409" s="169"/>
      <c r="AO409" s="169"/>
      <c r="AP409" s="169"/>
      <c r="AQ409" s="169"/>
      <c r="AR409" s="169"/>
      <c r="AS409" s="169"/>
      <c r="AT409" s="169"/>
      <c r="AU409" s="169"/>
      <c r="AV409" s="169"/>
      <c r="AW409" s="456"/>
      <c r="AX409" s="456"/>
      <c r="AY409" s="456"/>
      <c r="AZ409" s="456"/>
      <c r="BA409" s="456"/>
      <c r="CV409" s="456"/>
      <c r="CW409" s="456"/>
      <c r="CX409" s="456"/>
      <c r="CY409" s="456"/>
      <c r="CZ409" s="456"/>
      <c r="DA409" s="456"/>
      <c r="DB409" s="456"/>
      <c r="DC409" s="456"/>
      <c r="DD409" s="456"/>
      <c r="DE409" s="456"/>
      <c r="DF409" s="456"/>
      <c r="DG409" s="456"/>
      <c r="DH409" s="456"/>
      <c r="DI409" s="456"/>
      <c r="DJ409" s="456"/>
      <c r="DK409" s="456"/>
      <c r="DL409" s="456"/>
      <c r="DM409" s="456"/>
      <c r="DN409" s="456"/>
      <c r="DO409" s="456"/>
      <c r="DP409" s="456"/>
      <c r="DQ409" s="456"/>
    </row>
    <row r="410" spans="10:121" s="455" customFormat="1" ht="14.25">
      <c r="J410" s="203"/>
      <c r="K410" s="410"/>
      <c r="O410" s="457"/>
      <c r="P410" s="457"/>
      <c r="S410" s="169"/>
      <c r="T410" s="169"/>
      <c r="U410" s="169"/>
      <c r="V410" s="169"/>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c r="AT410" s="169"/>
      <c r="AU410" s="169"/>
      <c r="AV410" s="169"/>
      <c r="AW410" s="456"/>
      <c r="AX410" s="456"/>
      <c r="AY410" s="456"/>
      <c r="AZ410" s="456"/>
      <c r="BA410" s="456"/>
      <c r="CV410" s="456"/>
      <c r="CW410" s="456"/>
      <c r="CX410" s="456"/>
      <c r="CY410" s="456"/>
      <c r="CZ410" s="456"/>
      <c r="DA410" s="456"/>
      <c r="DB410" s="456"/>
      <c r="DC410" s="456"/>
      <c r="DD410" s="456"/>
      <c r="DE410" s="456"/>
      <c r="DF410" s="456"/>
      <c r="DG410" s="456"/>
      <c r="DH410" s="456"/>
      <c r="DI410" s="456"/>
      <c r="DJ410" s="456"/>
      <c r="DK410" s="456"/>
      <c r="DL410" s="456"/>
      <c r="DM410" s="456"/>
      <c r="DN410" s="456"/>
      <c r="DO410" s="456"/>
      <c r="DP410" s="456"/>
      <c r="DQ410" s="456"/>
    </row>
    <row r="411" spans="10:121" s="455" customFormat="1" ht="14.25">
      <c r="J411" s="203"/>
      <c r="K411" s="410"/>
      <c r="O411" s="457"/>
      <c r="P411" s="457"/>
      <c r="S411" s="169"/>
      <c r="T411" s="169"/>
      <c r="U411" s="169"/>
      <c r="V411" s="169"/>
      <c r="W411" s="169"/>
      <c r="X411" s="169"/>
      <c r="Y411" s="169"/>
      <c r="Z411" s="169"/>
      <c r="AA411" s="169"/>
      <c r="AB411" s="169"/>
      <c r="AC411" s="169"/>
      <c r="AD411" s="169"/>
      <c r="AE411" s="169"/>
      <c r="AF411" s="169"/>
      <c r="AG411" s="169"/>
      <c r="AH411" s="169"/>
      <c r="AI411" s="169"/>
      <c r="AJ411" s="169"/>
      <c r="AK411" s="169"/>
      <c r="AL411" s="169"/>
      <c r="AM411" s="169"/>
      <c r="AN411" s="169"/>
      <c r="AO411" s="169"/>
      <c r="AP411" s="169"/>
      <c r="AQ411" s="169"/>
      <c r="AR411" s="169"/>
      <c r="AS411" s="169"/>
      <c r="AT411" s="169"/>
      <c r="AU411" s="169"/>
      <c r="AV411" s="169"/>
      <c r="AW411" s="456"/>
      <c r="AX411" s="456"/>
      <c r="AY411" s="456"/>
      <c r="AZ411" s="456"/>
      <c r="BA411" s="456"/>
      <c r="CV411" s="456"/>
      <c r="CW411" s="456"/>
      <c r="CX411" s="456"/>
      <c r="CY411" s="456"/>
      <c r="CZ411" s="456"/>
      <c r="DA411" s="456"/>
      <c r="DB411" s="456"/>
      <c r="DC411" s="456"/>
      <c r="DD411" s="456"/>
      <c r="DE411" s="456"/>
      <c r="DF411" s="456"/>
      <c r="DG411" s="456"/>
      <c r="DH411" s="456"/>
      <c r="DI411" s="456"/>
      <c r="DJ411" s="456"/>
      <c r="DK411" s="456"/>
      <c r="DL411" s="456"/>
      <c r="DM411" s="456"/>
      <c r="DN411" s="456"/>
      <c r="DO411" s="456"/>
      <c r="DP411" s="456"/>
      <c r="DQ411" s="456"/>
    </row>
    <row r="412" spans="10:121" s="455" customFormat="1" ht="14.25">
      <c r="J412" s="203"/>
      <c r="K412" s="410"/>
      <c r="O412" s="457"/>
      <c r="P412" s="457"/>
      <c r="S412" s="169"/>
      <c r="T412" s="169"/>
      <c r="U412" s="169"/>
      <c r="V412" s="169"/>
      <c r="W412" s="169"/>
      <c r="X412" s="169"/>
      <c r="Y412" s="169"/>
      <c r="Z412" s="169"/>
      <c r="AA412" s="169"/>
      <c r="AB412" s="169"/>
      <c r="AC412" s="169"/>
      <c r="AD412" s="169"/>
      <c r="AE412" s="169"/>
      <c r="AF412" s="169"/>
      <c r="AG412" s="169"/>
      <c r="AH412" s="169"/>
      <c r="AI412" s="169"/>
      <c r="AJ412" s="169"/>
      <c r="AK412" s="169"/>
      <c r="AL412" s="169"/>
      <c r="AM412" s="169"/>
      <c r="AN412" s="169"/>
      <c r="AO412" s="169"/>
      <c r="AP412" s="169"/>
      <c r="AQ412" s="169"/>
      <c r="AR412" s="169"/>
      <c r="AS412" s="169"/>
      <c r="AT412" s="169"/>
      <c r="AU412" s="169"/>
      <c r="AV412" s="169"/>
      <c r="AW412" s="456"/>
      <c r="AX412" s="456"/>
      <c r="AY412" s="456"/>
      <c r="AZ412" s="456"/>
      <c r="BA412" s="456"/>
      <c r="CV412" s="456"/>
      <c r="CW412" s="456"/>
      <c r="CX412" s="456"/>
      <c r="CY412" s="456"/>
      <c r="CZ412" s="456"/>
      <c r="DA412" s="456"/>
      <c r="DB412" s="456"/>
      <c r="DC412" s="456"/>
      <c r="DD412" s="456"/>
      <c r="DE412" s="456"/>
      <c r="DF412" s="456"/>
      <c r="DG412" s="456"/>
      <c r="DH412" s="456"/>
      <c r="DI412" s="456"/>
      <c r="DJ412" s="456"/>
      <c r="DK412" s="456"/>
      <c r="DL412" s="456"/>
      <c r="DM412" s="456"/>
      <c r="DN412" s="456"/>
      <c r="DO412" s="456"/>
      <c r="DP412" s="456"/>
      <c r="DQ412" s="456"/>
    </row>
    <row r="414" ht="14.25">
      <c r="K414" s="457"/>
    </row>
    <row r="416" spans="10:18" ht="14.25">
      <c r="J416" s="170">
        <f>+J272+J273</f>
        <v>2466304.54</v>
      </c>
      <c r="K416" s="170">
        <f>+K272+K273</f>
        <v>2250519.6</v>
      </c>
      <c r="L416" s="190"/>
      <c r="M416" s="190"/>
      <c r="N416" s="190"/>
      <c r="O416" s="190"/>
      <c r="P416" s="190"/>
      <c r="Q416" s="190"/>
      <c r="R416" s="190"/>
    </row>
    <row r="417" spans="10:18" ht="14.25">
      <c r="J417" s="342">
        <f>+J275-J416</f>
        <v>13531623.84</v>
      </c>
      <c r="K417" s="190"/>
      <c r="L417" s="190"/>
      <c r="M417" s="190"/>
      <c r="N417" s="190"/>
      <c r="O417" s="190"/>
      <c r="P417" s="190"/>
      <c r="Q417" s="190"/>
      <c r="R417" s="190"/>
    </row>
    <row r="423" ht="14.25">
      <c r="R423" s="29"/>
    </row>
    <row r="427" ht="14.25">
      <c r="R427" s="49"/>
    </row>
    <row r="438" ht="14.25">
      <c r="R438" s="29"/>
    </row>
    <row r="442" ht="14.25">
      <c r="R442" s="49"/>
    </row>
    <row r="454" ht="14.25">
      <c r="R454" s="29"/>
    </row>
    <row r="459" ht="14.25">
      <c r="R459" s="49"/>
    </row>
    <row r="472" ht="14.25">
      <c r="R472" s="29"/>
    </row>
    <row r="476" ht="14.25">
      <c r="R476" s="49"/>
    </row>
    <row r="489" ht="14.25">
      <c r="R489" s="29"/>
    </row>
    <row r="493" ht="14.25">
      <c r="R493" s="49"/>
    </row>
    <row r="504" spans="15:16" ht="14.25">
      <c r="O504" s="17"/>
      <c r="P504" s="17"/>
    </row>
    <row r="505" spans="15:16" ht="14.25">
      <c r="O505" s="17"/>
      <c r="P505" s="17"/>
    </row>
    <row r="506" spans="15:18" ht="14.25">
      <c r="O506" s="17"/>
      <c r="P506" s="17"/>
      <c r="R506" s="29"/>
    </row>
    <row r="507" spans="15:16" ht="14.25">
      <c r="O507" s="17"/>
      <c r="P507" s="17"/>
    </row>
    <row r="508" spans="15:16" ht="14.25">
      <c r="O508" s="17"/>
      <c r="P508" s="17"/>
    </row>
    <row r="509" spans="15:16" ht="14.25">
      <c r="O509" s="17"/>
      <c r="P509" s="17"/>
    </row>
    <row r="510" spans="15:16" ht="14.25">
      <c r="O510" s="17"/>
      <c r="P510" s="17"/>
    </row>
    <row r="511" spans="15:18" ht="14.25">
      <c r="O511" s="17"/>
      <c r="P511" s="17"/>
      <c r="R511" s="49"/>
    </row>
    <row r="512" spans="15:16" ht="14.25">
      <c r="O512" s="17"/>
      <c r="P512" s="17"/>
    </row>
    <row r="513" spans="15:16" ht="14.25">
      <c r="O513" s="17"/>
      <c r="P513" s="17"/>
    </row>
    <row r="514" spans="15:16" ht="14.25">
      <c r="O514" s="17"/>
      <c r="P514" s="17"/>
    </row>
    <row r="515" spans="15:16" ht="14.25">
      <c r="O515" s="17"/>
      <c r="P515" s="17"/>
    </row>
    <row r="516" spans="15:16" ht="14.25">
      <c r="O516" s="17"/>
      <c r="P516" s="17"/>
    </row>
    <row r="517" spans="15:16" ht="14.25">
      <c r="O517" s="17"/>
      <c r="P517" s="17"/>
    </row>
    <row r="518" spans="15:16" ht="14.25">
      <c r="O518" s="17"/>
      <c r="P518" s="17"/>
    </row>
    <row r="519" spans="15:16" ht="14.25">
      <c r="O519" s="17"/>
      <c r="P519" s="17"/>
    </row>
    <row r="520" spans="15:16" ht="14.25">
      <c r="O520" s="17"/>
      <c r="P520" s="17"/>
    </row>
    <row r="521" spans="15:16" ht="14.25">
      <c r="O521" s="17"/>
      <c r="P521" s="17"/>
    </row>
    <row r="522" spans="15:16" ht="14.25">
      <c r="O522" s="17"/>
      <c r="P522" s="17"/>
    </row>
    <row r="523" spans="15:16" ht="14.25">
      <c r="O523" s="17"/>
      <c r="P523" s="17"/>
    </row>
    <row r="524" spans="15:18" ht="14.25">
      <c r="O524" s="17"/>
      <c r="P524" s="17"/>
      <c r="R524" s="29"/>
    </row>
    <row r="525" spans="15:16" ht="14.25">
      <c r="O525" s="17"/>
      <c r="P525" s="17"/>
    </row>
    <row r="526" spans="15:16" ht="14.25">
      <c r="O526" s="17"/>
      <c r="P526" s="17"/>
    </row>
    <row r="527" spans="15:16" ht="14.25">
      <c r="O527" s="17"/>
      <c r="P527" s="17"/>
    </row>
    <row r="528" spans="15:16" ht="14.25">
      <c r="O528" s="17"/>
      <c r="P528" s="17"/>
    </row>
    <row r="529" spans="15:16" ht="14.25">
      <c r="O529" s="17"/>
      <c r="P529" s="17"/>
    </row>
    <row r="530" spans="15:16" ht="14.25">
      <c r="O530" s="17"/>
      <c r="P530" s="17"/>
    </row>
    <row r="531" spans="15:16" ht="14.25">
      <c r="O531" s="17"/>
      <c r="P531" s="17"/>
    </row>
    <row r="532" spans="15:16" ht="14.25">
      <c r="O532" s="17"/>
      <c r="P532" s="17"/>
    </row>
    <row r="533" spans="15:16" ht="14.25">
      <c r="O533" s="17"/>
      <c r="P533" s="17"/>
    </row>
    <row r="534" spans="15:16" ht="14.25">
      <c r="O534" s="17"/>
      <c r="P534" s="17"/>
    </row>
    <row r="535" spans="15:16" ht="14.25">
      <c r="O535" s="17"/>
      <c r="P535" s="17"/>
    </row>
    <row r="536" spans="15:16" ht="14.25">
      <c r="O536" s="17"/>
      <c r="P536" s="17"/>
    </row>
    <row r="537" spans="15:16" ht="14.25">
      <c r="O537" s="17"/>
      <c r="P537" s="17"/>
    </row>
    <row r="538" spans="15:16" ht="14.25">
      <c r="O538" s="17"/>
      <c r="P538" s="17"/>
    </row>
    <row r="539" spans="15:16" ht="14.25">
      <c r="O539" s="17"/>
      <c r="P539" s="17"/>
    </row>
    <row r="540" spans="15:16" ht="14.25">
      <c r="O540" s="17"/>
      <c r="P540" s="17"/>
    </row>
    <row r="541" spans="15:16" ht="14.25">
      <c r="O541" s="17"/>
      <c r="P541" s="17"/>
    </row>
    <row r="542" spans="15:16" ht="14.25">
      <c r="O542" s="17"/>
      <c r="P542" s="17"/>
    </row>
    <row r="543" spans="15:16" ht="14.25">
      <c r="O543" s="17"/>
      <c r="P543" s="17"/>
    </row>
    <row r="544" spans="15:16" ht="14.25">
      <c r="O544" s="17"/>
      <c r="P544" s="17"/>
    </row>
    <row r="545" spans="15:16" ht="14.25">
      <c r="O545" s="17"/>
      <c r="P545" s="17"/>
    </row>
    <row r="546" spans="15:16" ht="14.25">
      <c r="O546" s="17"/>
      <c r="P546" s="17"/>
    </row>
    <row r="547" spans="15:16" ht="14.25">
      <c r="O547" s="17"/>
      <c r="P547" s="17"/>
    </row>
    <row r="548" spans="15:16" ht="14.25">
      <c r="O548" s="17"/>
      <c r="P548" s="17"/>
    </row>
    <row r="549" spans="15:16" ht="14.25">
      <c r="O549" s="17"/>
      <c r="P549" s="17"/>
    </row>
    <row r="550" spans="15:16" ht="14.25">
      <c r="O550" s="17"/>
      <c r="P550" s="17"/>
    </row>
    <row r="551" spans="15:16" ht="14.25">
      <c r="O551" s="17"/>
      <c r="P551" s="17"/>
    </row>
    <row r="552" spans="15:16" ht="14.25">
      <c r="O552" s="17"/>
      <c r="P552" s="17"/>
    </row>
    <row r="553" spans="15:16" ht="14.25">
      <c r="O553" s="17"/>
      <c r="P553" s="17"/>
    </row>
    <row r="554" spans="15:16" ht="14.25">
      <c r="O554" s="17"/>
      <c r="P554" s="17"/>
    </row>
    <row r="555" spans="15:16" ht="14.25">
      <c r="O555" s="17"/>
      <c r="P555" s="17"/>
    </row>
    <row r="556" spans="15:16" ht="14.25">
      <c r="O556" s="17"/>
      <c r="P556" s="17"/>
    </row>
    <row r="557" spans="15:16" ht="14.25">
      <c r="O557" s="17"/>
      <c r="P557" s="17"/>
    </row>
    <row r="558" spans="15:16" ht="14.25">
      <c r="O558" s="17"/>
      <c r="P558" s="17"/>
    </row>
    <row r="559" spans="15:16" ht="14.25">
      <c r="O559" s="17"/>
      <c r="P559" s="17"/>
    </row>
    <row r="560" spans="15:16" ht="14.25">
      <c r="O560" s="17"/>
      <c r="P560" s="17"/>
    </row>
    <row r="561" spans="15:16" ht="14.25">
      <c r="O561" s="17"/>
      <c r="P561" s="17"/>
    </row>
    <row r="562" spans="15:16" ht="14.25">
      <c r="O562" s="17"/>
      <c r="P562" s="17"/>
    </row>
    <row r="563" spans="15:16" ht="14.25">
      <c r="O563" s="17"/>
      <c r="P563" s="17"/>
    </row>
    <row r="564" spans="15:16" ht="14.25">
      <c r="O564" s="17"/>
      <c r="P564" s="17"/>
    </row>
    <row r="565" spans="15:16" ht="14.25">
      <c r="O565" s="17"/>
      <c r="P565" s="17"/>
    </row>
  </sheetData>
  <sheetProtection/>
  <mergeCells count="13">
    <mergeCell ref="N54:O54"/>
    <mergeCell ref="P81:Q81"/>
    <mergeCell ref="P54:Q54"/>
    <mergeCell ref="N287:O287"/>
    <mergeCell ref="P287:Q287"/>
    <mergeCell ref="B278:N282"/>
    <mergeCell ref="V10:Y10"/>
    <mergeCell ref="P170:Q170"/>
    <mergeCell ref="P9:Q9"/>
    <mergeCell ref="N9:O9"/>
    <mergeCell ref="N81:O81"/>
    <mergeCell ref="B133:C133"/>
    <mergeCell ref="N170:O170"/>
  </mergeCells>
  <printOptions/>
  <pageMargins left="1.3" right="0.393700787401575" top="0.866141732283465" bottom="0.748031496062992" header="0" footer="0.31496062992126"/>
  <pageSetup horizontalDpi="600" verticalDpi="600" orientation="portrait" scale="55" r:id="rId4"/>
  <headerFooter>
    <oddFooter>&amp;C&amp;A&amp;RPágina &amp;P</oddFooter>
  </headerFooter>
  <rowBreaks count="4" manualBreakCount="4">
    <brk id="78" max="45" man="1"/>
    <brk id="168" max="45" man="1"/>
    <brk id="284" max="45" man="1"/>
    <brk id="371" max="45" man="1"/>
  </rowBreaks>
  <drawing r:id="rId3"/>
  <legacyDrawing r:id="rId2"/>
</worksheet>
</file>

<file path=xl/worksheets/sheet9.xml><?xml version="1.0" encoding="utf-8"?>
<worksheet xmlns="http://schemas.openxmlformats.org/spreadsheetml/2006/main" xmlns:r="http://schemas.openxmlformats.org/officeDocument/2006/relationships">
  <dimension ref="A1:U219"/>
  <sheetViews>
    <sheetView workbookViewId="0" topLeftCell="A202">
      <selection activeCell="R227" sqref="R227"/>
    </sheetView>
  </sheetViews>
  <sheetFormatPr defaultColWidth="11.421875" defaultRowHeight="15"/>
  <cols>
    <col min="1" max="1" width="5.57421875" style="3" customWidth="1"/>
    <col min="2" max="2" width="49.00390625" style="105" customWidth="1"/>
    <col min="3" max="3" width="1.7109375" style="105" customWidth="1"/>
    <col min="4" max="4" width="18.7109375" style="99" hidden="1" customWidth="1"/>
    <col min="5" max="6" width="18.7109375" style="99" customWidth="1"/>
    <col min="7" max="11" width="18.7109375" style="99" hidden="1" customWidth="1"/>
    <col min="12" max="12" width="19.00390625" style="105" hidden="1" customWidth="1"/>
    <col min="13" max="14" width="0" style="105" hidden="1" customWidth="1"/>
    <col min="15" max="15" width="12.421875" style="105" hidden="1" customWidth="1"/>
    <col min="16" max="16" width="13.140625" style="462" bestFit="1" customWidth="1"/>
    <col min="17" max="17" width="13.28125" style="462" bestFit="1" customWidth="1"/>
    <col min="18" max="18" width="21.421875" style="462" bestFit="1" customWidth="1"/>
    <col min="19" max="19" width="12.8515625" style="462" bestFit="1" customWidth="1"/>
    <col min="20" max="20" width="12.140625" style="462" bestFit="1" customWidth="1"/>
    <col min="21" max="21" width="11.421875" style="462" customWidth="1"/>
    <col min="22" max="16384" width="11.421875" style="3" customWidth="1"/>
  </cols>
  <sheetData>
    <row r="1" spans="2:13" ht="15">
      <c r="B1" s="824" t="s">
        <v>1</v>
      </c>
      <c r="C1" s="824"/>
      <c r="D1" s="824"/>
      <c r="E1" s="824"/>
      <c r="F1" s="824"/>
      <c r="G1" s="824"/>
      <c r="H1" s="824"/>
      <c r="I1" s="824"/>
      <c r="J1" s="824"/>
      <c r="K1" s="824"/>
      <c r="L1" s="824"/>
      <c r="M1" s="824"/>
    </row>
    <row r="2" spans="2:13" ht="15">
      <c r="B2" s="824" t="s">
        <v>27</v>
      </c>
      <c r="C2" s="824"/>
      <c r="D2" s="824"/>
      <c r="E2" s="824"/>
      <c r="F2" s="824"/>
      <c r="G2" s="824"/>
      <c r="H2" s="824"/>
      <c r="I2" s="824"/>
      <c r="J2" s="824"/>
      <c r="K2" s="824"/>
      <c r="L2" s="824"/>
      <c r="M2" s="824"/>
    </row>
    <row r="3" spans="2:13" ht="15">
      <c r="B3" s="824" t="s">
        <v>1005</v>
      </c>
      <c r="C3" s="824"/>
      <c r="D3" s="824"/>
      <c r="E3" s="824"/>
      <c r="F3" s="824"/>
      <c r="G3" s="824"/>
      <c r="H3" s="824"/>
      <c r="I3" s="824"/>
      <c r="J3" s="824"/>
      <c r="K3" s="824"/>
      <c r="L3" s="824"/>
      <c r="M3" s="824"/>
    </row>
    <row r="4" ht="15"/>
    <row r="5" ht="15"/>
    <row r="6" ht="15">
      <c r="B6" s="96" t="s">
        <v>28</v>
      </c>
    </row>
    <row r="7" ht="15">
      <c r="B7" s="96"/>
    </row>
    <row r="8" spans="2:12" ht="15">
      <c r="B8" s="192" t="s">
        <v>253</v>
      </c>
      <c r="E8" s="185">
        <v>2023</v>
      </c>
      <c r="F8" s="185">
        <v>2022</v>
      </c>
      <c r="G8" s="185">
        <v>2021</v>
      </c>
      <c r="H8" s="185">
        <v>2020</v>
      </c>
      <c r="I8" s="185">
        <v>2019</v>
      </c>
      <c r="J8" s="185">
        <v>2018</v>
      </c>
      <c r="K8" s="185">
        <v>2017</v>
      </c>
      <c r="L8" s="185">
        <v>2016</v>
      </c>
    </row>
    <row r="9" spans="2:12" ht="15">
      <c r="B9" s="105" t="s">
        <v>29</v>
      </c>
      <c r="D9" s="186">
        <v>19139998.12</v>
      </c>
      <c r="E9" s="711">
        <v>15231951.65</v>
      </c>
      <c r="F9" s="711">
        <v>13335001.17</v>
      </c>
      <c r="G9" s="186">
        <v>11560900.38</v>
      </c>
      <c r="H9" s="186">
        <v>9817125.56</v>
      </c>
      <c r="I9" s="87">
        <v>21177805.77</v>
      </c>
      <c r="J9" s="87">
        <v>20833208.92</v>
      </c>
      <c r="K9" s="87">
        <v>20520781.23</v>
      </c>
      <c r="L9" s="87">
        <v>19916382.15</v>
      </c>
    </row>
    <row r="10" spans="2:12" ht="14.25" hidden="1">
      <c r="B10" s="105" t="s">
        <v>501</v>
      </c>
      <c r="D10" s="186">
        <v>35130</v>
      </c>
      <c r="E10" s="711"/>
      <c r="F10" s="711"/>
      <c r="G10" s="186"/>
      <c r="H10" s="186">
        <v>0</v>
      </c>
      <c r="I10" s="87">
        <v>35130</v>
      </c>
      <c r="J10" s="87">
        <v>35130</v>
      </c>
      <c r="K10" s="87">
        <v>35130</v>
      </c>
      <c r="L10" s="87">
        <v>35130</v>
      </c>
    </row>
    <row r="11" spans="2:12" ht="15">
      <c r="B11" s="105" t="s">
        <v>31</v>
      </c>
      <c r="D11" s="186">
        <v>738127.23</v>
      </c>
      <c r="E11" s="711">
        <v>917910.78</v>
      </c>
      <c r="F11" s="711">
        <v>917910.78</v>
      </c>
      <c r="G11" s="186">
        <v>917910.78</v>
      </c>
      <c r="H11" s="186">
        <v>917910.78</v>
      </c>
      <c r="I11" s="87">
        <v>876610.74</v>
      </c>
      <c r="J11" s="87">
        <v>835310.74</v>
      </c>
      <c r="K11" s="87">
        <v>794010.74</v>
      </c>
      <c r="L11" s="87">
        <v>752710.74</v>
      </c>
    </row>
    <row r="12" spans="2:12" ht="15">
      <c r="B12" s="105" t="s">
        <v>32</v>
      </c>
      <c r="D12" s="186">
        <v>1757269.34</v>
      </c>
      <c r="E12" s="711">
        <v>3339231.28</v>
      </c>
      <c r="F12" s="711">
        <v>2780926.77</v>
      </c>
      <c r="G12" s="186">
        <v>2376045.33</v>
      </c>
      <c r="H12" s="186">
        <v>1990237.54</v>
      </c>
      <c r="I12" s="87">
        <v>2946548.26</v>
      </c>
      <c r="J12" s="87">
        <v>2669444.12</v>
      </c>
      <c r="K12" s="87">
        <v>2392339.98</v>
      </c>
      <c r="L12" s="87">
        <v>2092829.87</v>
      </c>
    </row>
    <row r="13" spans="2:12" ht="15">
      <c r="B13" s="105" t="s">
        <v>4</v>
      </c>
      <c r="D13" s="186">
        <v>72347.35</v>
      </c>
      <c r="E13" s="711">
        <v>11521.67</v>
      </c>
      <c r="F13" s="711">
        <v>10223.87</v>
      </c>
      <c r="G13" s="186">
        <v>9740.15</v>
      </c>
      <c r="H13" s="186">
        <v>9256.43</v>
      </c>
      <c r="I13" s="87">
        <v>115757.08</v>
      </c>
      <c r="J13" s="87">
        <v>104016.08</v>
      </c>
      <c r="K13" s="87">
        <v>92275.08</v>
      </c>
      <c r="L13" s="87">
        <v>80534.08</v>
      </c>
    </row>
    <row r="14" spans="2:12" ht="15">
      <c r="B14" s="105" t="s">
        <v>33</v>
      </c>
      <c r="D14" s="186">
        <v>121233.3</v>
      </c>
      <c r="E14" s="711">
        <v>35204.72</v>
      </c>
      <c r="F14" s="711">
        <v>28681.4</v>
      </c>
      <c r="G14" s="186">
        <v>23064.04</v>
      </c>
      <c r="H14" s="186">
        <v>16356.84</v>
      </c>
      <c r="I14" s="87">
        <v>141760.67</v>
      </c>
      <c r="J14" s="87">
        <v>136020.92</v>
      </c>
      <c r="K14" s="87">
        <v>130281.17</v>
      </c>
      <c r="L14" s="87">
        <v>125942.99</v>
      </c>
    </row>
    <row r="15" spans="2:12" ht="15">
      <c r="B15" s="99" t="s">
        <v>34</v>
      </c>
      <c r="D15" s="186">
        <v>225688.47</v>
      </c>
      <c r="E15" s="711">
        <v>473733.96</v>
      </c>
      <c r="F15" s="711">
        <v>358290.43</v>
      </c>
      <c r="G15" s="186">
        <v>265332.19</v>
      </c>
      <c r="H15" s="186">
        <v>152346.68</v>
      </c>
      <c r="I15" s="87">
        <v>1013457.11</v>
      </c>
      <c r="J15" s="87">
        <v>822616.06</v>
      </c>
      <c r="K15" s="87">
        <v>631775.01</v>
      </c>
      <c r="L15" s="87">
        <v>445089.51</v>
      </c>
    </row>
    <row r="16" spans="2:12" ht="15">
      <c r="B16" s="99" t="s">
        <v>64</v>
      </c>
      <c r="D16" s="186">
        <v>156641.78</v>
      </c>
      <c r="E16" s="711">
        <v>77170.36</v>
      </c>
      <c r="F16" s="711">
        <v>60305.29</v>
      </c>
      <c r="G16" s="186">
        <v>46548.85</v>
      </c>
      <c r="H16" s="186">
        <v>33433.56</v>
      </c>
      <c r="I16" s="87">
        <v>206488.54</v>
      </c>
      <c r="J16" s="87">
        <v>194341.12</v>
      </c>
      <c r="K16" s="87">
        <v>182193.7</v>
      </c>
      <c r="L16" s="87">
        <v>169072.32</v>
      </c>
    </row>
    <row r="17" spans="2:12" ht="15">
      <c r="B17" s="99" t="s">
        <v>485</v>
      </c>
      <c r="D17" s="186">
        <v>49225.13</v>
      </c>
      <c r="E17" s="711">
        <v>112927.24</v>
      </c>
      <c r="F17" s="711">
        <v>107311.96</v>
      </c>
      <c r="G17" s="186">
        <v>107311.96</v>
      </c>
      <c r="H17" s="186">
        <v>107311.96</v>
      </c>
      <c r="I17" s="87">
        <v>109816.52</v>
      </c>
      <c r="J17" s="87">
        <v>94282.34</v>
      </c>
      <c r="K17" s="87">
        <v>78748.16</v>
      </c>
      <c r="L17" s="87">
        <v>64360.87</v>
      </c>
    </row>
    <row r="18" spans="2:17" ht="15">
      <c r="B18" s="105" t="s">
        <v>35</v>
      </c>
      <c r="D18" s="186">
        <v>13748744.65</v>
      </c>
      <c r="E18" s="711">
        <f>2850681.57+4708.08+8064.18+94298.16</f>
        <v>2957751.99</v>
      </c>
      <c r="F18" s="711">
        <v>2109885.03</v>
      </c>
      <c r="G18" s="186">
        <v>1300116.72</v>
      </c>
      <c r="H18" s="186">
        <v>495756.16</v>
      </c>
      <c r="I18" s="87">
        <v>14169249.35</v>
      </c>
      <c r="J18" s="87">
        <v>14036796.53</v>
      </c>
      <c r="K18" s="87">
        <v>13904343.71</v>
      </c>
      <c r="L18" s="87">
        <v>13822859.24</v>
      </c>
      <c r="Q18" s="462">
        <v>4708.08</v>
      </c>
    </row>
    <row r="19" spans="2:17" ht="15">
      <c r="B19" s="99" t="s">
        <v>486</v>
      </c>
      <c r="D19" s="186">
        <f>5815.41+7245.41+9574.95</f>
        <v>22635.77</v>
      </c>
      <c r="E19" s="712">
        <f>103796.86+8489.96+9170.27</f>
        <v>121457.09000000001</v>
      </c>
      <c r="F19" s="712">
        <f>92531.74+5894+8620.31</f>
        <v>107046.05</v>
      </c>
      <c r="G19" s="223">
        <f>92333.02+5894+8070.35</f>
        <v>106297.37000000001</v>
      </c>
      <c r="H19" s="223">
        <f>92134.3+5894+7520.39</f>
        <v>105548.69</v>
      </c>
      <c r="I19" s="87">
        <f>22961.63+5815.41+7245.41</f>
        <v>36022.45</v>
      </c>
      <c r="J19" s="87">
        <f>20130.01+5815.41+7245.41</f>
        <v>33190.83</v>
      </c>
      <c r="K19" s="87">
        <f>17298.39+5815.41+7245.41</f>
        <v>30359.21</v>
      </c>
      <c r="L19" s="87">
        <f>12562.14+5815.41+7245.41</f>
        <v>25622.96</v>
      </c>
      <c r="Q19" s="462">
        <v>2850681.57</v>
      </c>
    </row>
    <row r="20" spans="2:12" ht="14.25" hidden="1">
      <c r="B20" s="105" t="s">
        <v>36</v>
      </c>
      <c r="D20" s="100">
        <v>235430.74</v>
      </c>
      <c r="E20" s="713"/>
      <c r="F20" s="713"/>
      <c r="G20" s="100"/>
      <c r="H20" s="100"/>
      <c r="I20" s="100">
        <v>235430.74</v>
      </c>
      <c r="J20" s="100">
        <v>235430.74</v>
      </c>
      <c r="K20" s="100">
        <v>235430.74</v>
      </c>
      <c r="L20" s="100">
        <v>235430.74</v>
      </c>
    </row>
    <row r="21" spans="5:17" ht="15">
      <c r="E21" s="714"/>
      <c r="F21" s="714"/>
      <c r="I21" s="87"/>
      <c r="J21" s="87"/>
      <c r="K21" s="87"/>
      <c r="L21" s="87"/>
      <c r="O21" s="193">
        <f>+H17+H19+H16</f>
        <v>246294.21000000002</v>
      </c>
      <c r="Q21" s="462">
        <v>8064.18</v>
      </c>
    </row>
    <row r="22" spans="2:18" ht="15.75" thickBot="1">
      <c r="B22" s="96" t="s">
        <v>37</v>
      </c>
      <c r="C22" s="96"/>
      <c r="D22" s="14">
        <f>SUM(D9:D21)</f>
        <v>36302471.88000001</v>
      </c>
      <c r="E22" s="715">
        <f>SUM(E9:E19)</f>
        <v>23278860.74</v>
      </c>
      <c r="F22" s="715">
        <f>SUM(F9:F19)</f>
        <v>19815582.75</v>
      </c>
      <c r="G22" s="14">
        <f>SUM(G9:G20)</f>
        <v>16713267.77</v>
      </c>
      <c r="H22" s="14">
        <f>SUM(H9:H20)</f>
        <v>13645284.2</v>
      </c>
      <c r="I22" s="14">
        <f>SUM(I9:I20)</f>
        <v>41064077.23</v>
      </c>
      <c r="J22" s="14">
        <f>SUM(J9:J20)</f>
        <v>40029788.4</v>
      </c>
      <c r="K22" s="14">
        <f>SUM(K9:K20)</f>
        <v>39027668.730000004</v>
      </c>
      <c r="L22" s="14">
        <f>SUM(L9:L21)</f>
        <v>37765965.47</v>
      </c>
      <c r="M22" s="194">
        <f>+H22+'[2]Balanza de Comprobación 2020'!$I$156</f>
        <v>0</v>
      </c>
      <c r="O22" s="194">
        <f>+O21+'[2]Balanza de Comprobación 2020'!$I$223</f>
        <v>0</v>
      </c>
      <c r="P22" s="462" t="s">
        <v>588</v>
      </c>
      <c r="Q22" s="462">
        <v>94298.16</v>
      </c>
      <c r="R22" s="285">
        <f>+F22-G22</f>
        <v>3102314.9800000004</v>
      </c>
    </row>
    <row r="23" spans="5:12" ht="15.75" thickTop="1">
      <c r="E23" s="714"/>
      <c r="F23" s="714"/>
      <c r="K23" s="87"/>
      <c r="L23" s="87"/>
    </row>
    <row r="24" spans="5:20" ht="15">
      <c r="E24" s="714"/>
      <c r="F24" s="714"/>
      <c r="K24" s="87"/>
      <c r="L24" s="87"/>
      <c r="S24" s="462">
        <v>103796.86</v>
      </c>
      <c r="T24" s="462" t="s">
        <v>1025</v>
      </c>
    </row>
    <row r="25" spans="2:20" ht="15">
      <c r="B25" s="192" t="s">
        <v>254</v>
      </c>
      <c r="E25" s="714"/>
      <c r="F25" s="714"/>
      <c r="K25" s="87"/>
      <c r="L25" s="87"/>
      <c r="S25" s="462">
        <v>8489.96</v>
      </c>
      <c r="T25" s="462" t="s">
        <v>1025</v>
      </c>
    </row>
    <row r="26" spans="2:20" ht="15">
      <c r="B26" s="105" t="s">
        <v>29</v>
      </c>
      <c r="D26" s="195">
        <v>1280734.25</v>
      </c>
      <c r="E26" s="714">
        <v>596199.18</v>
      </c>
      <c r="F26" s="714">
        <v>584639.41</v>
      </c>
      <c r="G26" s="87">
        <v>581087.65</v>
      </c>
      <c r="H26" s="87">
        <v>577285.97</v>
      </c>
      <c r="I26" s="87">
        <v>1330935.05</v>
      </c>
      <c r="J26" s="87">
        <v>1313075.01</v>
      </c>
      <c r="K26" s="87">
        <v>1295214.97</v>
      </c>
      <c r="L26" s="87">
        <v>1286682.5</v>
      </c>
      <c r="S26" s="462">
        <v>9170.27</v>
      </c>
      <c r="T26" s="462" t="s">
        <v>1025</v>
      </c>
    </row>
    <row r="27" spans="2:12" ht="14.25" hidden="1">
      <c r="B27" s="105" t="s">
        <v>30</v>
      </c>
      <c r="D27" s="195">
        <v>1217.82</v>
      </c>
      <c r="E27" s="711"/>
      <c r="F27" s="711"/>
      <c r="G27" s="195"/>
      <c r="H27" s="87"/>
      <c r="I27" s="87">
        <v>1217.82</v>
      </c>
      <c r="J27" s="87">
        <v>1217.82</v>
      </c>
      <c r="K27" s="87">
        <v>1217.82</v>
      </c>
      <c r="L27" s="87">
        <v>1217.82</v>
      </c>
    </row>
    <row r="28" spans="2:12" ht="14.25" hidden="1">
      <c r="B28" s="105" t="s">
        <v>31</v>
      </c>
      <c r="D28" s="195"/>
      <c r="E28" s="711"/>
      <c r="F28" s="711"/>
      <c r="G28" s="195"/>
      <c r="H28" s="87"/>
      <c r="I28" s="87"/>
      <c r="J28" s="87"/>
      <c r="K28" s="87"/>
      <c r="L28" s="87"/>
    </row>
    <row r="29" spans="2:12" ht="15">
      <c r="B29" s="105" t="s">
        <v>32</v>
      </c>
      <c r="D29" s="195">
        <v>261656.02</v>
      </c>
      <c r="E29" s="714">
        <v>214214.92</v>
      </c>
      <c r="F29" s="714">
        <v>211714.96</v>
      </c>
      <c r="G29" s="87">
        <v>209215</v>
      </c>
      <c r="H29" s="87">
        <v>206715.04</v>
      </c>
      <c r="I29" s="87">
        <v>564783.3</v>
      </c>
      <c r="J29" s="87">
        <v>480189.64</v>
      </c>
      <c r="K29" s="87">
        <v>395595.98</v>
      </c>
      <c r="L29" s="87">
        <v>311002.32</v>
      </c>
    </row>
    <row r="30" spans="2:12" ht="14.25" hidden="1">
      <c r="B30" s="105" t="s">
        <v>4</v>
      </c>
      <c r="D30" s="195">
        <v>46520.25</v>
      </c>
      <c r="E30" s="711"/>
      <c r="F30" s="711"/>
      <c r="G30" s="195"/>
      <c r="H30" s="87"/>
      <c r="I30" s="87">
        <v>46520.25</v>
      </c>
      <c r="J30" s="87">
        <v>46520.25</v>
      </c>
      <c r="K30" s="87">
        <v>46520.25</v>
      </c>
      <c r="L30" s="87">
        <v>46520.25</v>
      </c>
    </row>
    <row r="31" spans="2:12" ht="15">
      <c r="B31" s="105" t="s">
        <v>33</v>
      </c>
      <c r="D31" s="195">
        <v>11773.49</v>
      </c>
      <c r="E31" s="714">
        <v>3147.98</v>
      </c>
      <c r="F31" s="714">
        <v>2849</v>
      </c>
      <c r="G31" s="87">
        <v>2849</v>
      </c>
      <c r="H31" s="87">
        <v>2849</v>
      </c>
      <c r="I31" s="87">
        <v>11773.49</v>
      </c>
      <c r="J31" s="87">
        <v>11773.49</v>
      </c>
      <c r="K31" s="87">
        <v>11773.49</v>
      </c>
      <c r="L31" s="87">
        <v>11773.49</v>
      </c>
    </row>
    <row r="32" spans="2:12" ht="14.25" hidden="1">
      <c r="B32" s="99" t="s">
        <v>34</v>
      </c>
      <c r="D32" s="195">
        <v>5981.25</v>
      </c>
      <c r="E32" s="711"/>
      <c r="F32" s="711"/>
      <c r="G32" s="195"/>
      <c r="I32" s="87">
        <v>6389.06</v>
      </c>
      <c r="J32" s="87">
        <v>6389.06</v>
      </c>
      <c r="K32" s="87">
        <v>6389.06</v>
      </c>
      <c r="L32" s="87">
        <v>6389.06</v>
      </c>
    </row>
    <row r="33" spans="2:12" ht="15">
      <c r="B33" s="99" t="s">
        <v>65</v>
      </c>
      <c r="D33" s="195">
        <v>44640.98</v>
      </c>
      <c r="E33" s="714">
        <v>18649.11</v>
      </c>
      <c r="F33" s="714">
        <v>17949.75</v>
      </c>
      <c r="G33" s="87">
        <v>17250.39</v>
      </c>
      <c r="H33" s="87">
        <v>16551.03</v>
      </c>
      <c r="I33" s="87">
        <v>58479.96</v>
      </c>
      <c r="J33" s="87">
        <v>55481.06</v>
      </c>
      <c r="K33" s="87">
        <v>52482.16</v>
      </c>
      <c r="L33" s="87">
        <v>49483.26</v>
      </c>
    </row>
    <row r="34" spans="2:12" ht="15">
      <c r="B34" s="99" t="s">
        <v>487</v>
      </c>
      <c r="D34" s="195">
        <v>6295</v>
      </c>
      <c r="E34" s="714">
        <v>17298.09</v>
      </c>
      <c r="F34" s="714">
        <v>14720.37</v>
      </c>
      <c r="G34" s="87">
        <v>11769.65</v>
      </c>
      <c r="H34" s="87">
        <v>8914.09</v>
      </c>
      <c r="I34" s="87">
        <v>15203.06</v>
      </c>
      <c r="J34" s="87">
        <v>12773.59</v>
      </c>
      <c r="K34" s="87">
        <v>10344.12</v>
      </c>
      <c r="L34" s="87">
        <v>7914.65</v>
      </c>
    </row>
    <row r="35" spans="2:12" ht="15">
      <c r="B35" s="105" t="s">
        <v>502</v>
      </c>
      <c r="D35" s="195">
        <v>39146.23</v>
      </c>
      <c r="E35" s="714">
        <f>103812.48+4101.01</f>
        <v>107913.48999999999</v>
      </c>
      <c r="F35" s="714">
        <f>103812.48+2132.52</f>
        <v>105945</v>
      </c>
      <c r="G35" s="87">
        <f>103812.48+164.04</f>
        <v>103976.51999999999</v>
      </c>
      <c r="H35" s="87">
        <v>103812.48</v>
      </c>
      <c r="I35" s="87">
        <v>55319.38</v>
      </c>
      <c r="J35" s="87">
        <v>51616.9</v>
      </c>
      <c r="K35" s="87">
        <v>47914.36</v>
      </c>
      <c r="L35" s="87">
        <v>43503.48</v>
      </c>
    </row>
    <row r="36" spans="4:12" ht="15">
      <c r="D36" s="196"/>
      <c r="E36" s="713"/>
      <c r="F36" s="713"/>
      <c r="G36" s="196"/>
      <c r="H36" s="100"/>
      <c r="I36" s="100"/>
      <c r="J36" s="100"/>
      <c r="K36" s="100"/>
      <c r="L36" s="100"/>
    </row>
    <row r="37" spans="2:18" ht="15.75" thickBot="1">
      <c r="B37" s="96" t="s">
        <v>272</v>
      </c>
      <c r="D37" s="15">
        <f aca="true" t="shared" si="0" ref="D37:L37">SUM(D26:D36)</f>
        <v>1697965.29</v>
      </c>
      <c r="E37" s="715">
        <f>SUM(E26:E36)</f>
        <v>957422.77</v>
      </c>
      <c r="F37" s="715">
        <f>SUM(F26:F36)</f>
        <v>937818.49</v>
      </c>
      <c r="G37" s="14">
        <f>SUM(G26:G36)</f>
        <v>926148.2100000001</v>
      </c>
      <c r="H37" s="14">
        <f t="shared" si="0"/>
        <v>916127.61</v>
      </c>
      <c r="I37" s="14">
        <f t="shared" si="0"/>
        <v>2090621.37</v>
      </c>
      <c r="J37" s="15">
        <f t="shared" si="0"/>
        <v>1979036.8200000003</v>
      </c>
      <c r="K37" s="15">
        <f t="shared" si="0"/>
        <v>1867452.2100000002</v>
      </c>
      <c r="L37" s="15">
        <f t="shared" si="0"/>
        <v>1764486.83</v>
      </c>
      <c r="P37" s="462" t="s">
        <v>588</v>
      </c>
      <c r="R37" s="551">
        <f>+F37-G37</f>
        <v>11670.279999999912</v>
      </c>
    </row>
    <row r="38" spans="5:12" ht="15.75" thickTop="1">
      <c r="E38" s="714"/>
      <c r="F38" s="714"/>
      <c r="K38" s="87"/>
      <c r="L38" s="87"/>
    </row>
    <row r="39" spans="5:12" ht="15">
      <c r="E39" s="714"/>
      <c r="F39" s="714"/>
      <c r="K39" s="87"/>
      <c r="L39" s="87"/>
    </row>
    <row r="40" spans="2:21" s="169" customFormat="1" ht="15">
      <c r="B40" s="192" t="s">
        <v>255</v>
      </c>
      <c r="C40" s="105"/>
      <c r="D40" s="99"/>
      <c r="E40" s="714"/>
      <c r="F40" s="714"/>
      <c r="G40" s="99"/>
      <c r="H40" s="99"/>
      <c r="I40" s="99"/>
      <c r="J40" s="99"/>
      <c r="K40" s="87"/>
      <c r="L40" s="87"/>
      <c r="M40" s="105"/>
      <c r="N40" s="105"/>
      <c r="O40" s="105"/>
      <c r="P40" s="462"/>
      <c r="Q40" s="462"/>
      <c r="R40" s="462"/>
      <c r="S40" s="462"/>
      <c r="T40" s="462"/>
      <c r="U40" s="462"/>
    </row>
    <row r="41" spans="2:21" s="169" customFormat="1" ht="15">
      <c r="B41" s="105" t="s">
        <v>29</v>
      </c>
      <c r="C41" s="105"/>
      <c r="D41" s="103">
        <v>606794.7</v>
      </c>
      <c r="E41" s="714">
        <v>989166.09</v>
      </c>
      <c r="F41" s="714">
        <v>983619.37</v>
      </c>
      <c r="G41" s="87">
        <v>980119.45</v>
      </c>
      <c r="H41" s="87">
        <v>976619.53</v>
      </c>
      <c r="I41" s="87">
        <v>767078.31</v>
      </c>
      <c r="J41" s="87">
        <v>709521.4</v>
      </c>
      <c r="K41" s="87">
        <v>651964.49</v>
      </c>
      <c r="L41" s="87">
        <v>621763.06</v>
      </c>
      <c r="M41" s="105"/>
      <c r="N41" s="105"/>
      <c r="O41" s="105"/>
      <c r="P41" s="462"/>
      <c r="Q41" s="462"/>
      <c r="R41" s="462"/>
      <c r="S41" s="462"/>
      <c r="T41" s="462"/>
      <c r="U41" s="462"/>
    </row>
    <row r="42" spans="2:21" s="169" customFormat="1" ht="14.25" hidden="1">
      <c r="B42" s="105" t="s">
        <v>501</v>
      </c>
      <c r="C42" s="105"/>
      <c r="D42" s="103">
        <v>19639.21</v>
      </c>
      <c r="E42" s="714"/>
      <c r="F42" s="714"/>
      <c r="G42" s="103"/>
      <c r="H42" s="103"/>
      <c r="I42" s="87">
        <v>19639.21</v>
      </c>
      <c r="J42" s="87">
        <v>19639.21</v>
      </c>
      <c r="K42" s="87">
        <v>19639.21</v>
      </c>
      <c r="L42" s="87">
        <v>19639.21</v>
      </c>
      <c r="M42" s="105"/>
      <c r="N42" s="105"/>
      <c r="O42" s="105"/>
      <c r="P42" s="462"/>
      <c r="Q42" s="462"/>
      <c r="R42" s="462"/>
      <c r="S42" s="462"/>
      <c r="T42" s="462"/>
      <c r="U42" s="462"/>
    </row>
    <row r="43" spans="2:21" s="169" customFormat="1" ht="14.25" hidden="1">
      <c r="B43" s="105" t="s">
        <v>31</v>
      </c>
      <c r="C43" s="105"/>
      <c r="D43" s="103">
        <v>382724.01</v>
      </c>
      <c r="E43" s="714"/>
      <c r="F43" s="714"/>
      <c r="G43" s="103"/>
      <c r="H43" s="103"/>
      <c r="I43" s="87">
        <v>382724.01</v>
      </c>
      <c r="J43" s="87">
        <v>382724.01</v>
      </c>
      <c r="K43" s="87">
        <v>382724.01</v>
      </c>
      <c r="L43" s="87">
        <v>382724.01</v>
      </c>
      <c r="M43" s="105"/>
      <c r="N43" s="105"/>
      <c r="O43" s="105"/>
      <c r="P43" s="462"/>
      <c r="Q43" s="462"/>
      <c r="R43" s="462"/>
      <c r="S43" s="462"/>
      <c r="T43" s="462"/>
      <c r="U43" s="462"/>
    </row>
    <row r="44" spans="2:21" s="169" customFormat="1" ht="15">
      <c r="B44" s="105" t="s">
        <v>32</v>
      </c>
      <c r="C44" s="105"/>
      <c r="D44" s="103">
        <v>72799</v>
      </c>
      <c r="E44" s="714">
        <v>52827.79</v>
      </c>
      <c r="F44" s="714">
        <v>35852.9</v>
      </c>
      <c r="G44" s="87">
        <v>35852.9</v>
      </c>
      <c r="H44" s="87">
        <v>35852.9</v>
      </c>
      <c r="I44" s="87">
        <v>109036.82</v>
      </c>
      <c r="J44" s="87">
        <v>92931.12</v>
      </c>
      <c r="K44" s="87">
        <v>76825.42</v>
      </c>
      <c r="L44" s="87">
        <v>72799</v>
      </c>
      <c r="M44" s="105"/>
      <c r="N44" s="105"/>
      <c r="O44" s="105"/>
      <c r="P44" s="462"/>
      <c r="Q44" s="462"/>
      <c r="R44" s="462"/>
      <c r="S44" s="462"/>
      <c r="T44" s="462"/>
      <c r="U44" s="462"/>
    </row>
    <row r="45" spans="2:21" s="169" customFormat="1" ht="15">
      <c r="B45" s="105" t="s">
        <v>33</v>
      </c>
      <c r="C45" s="105"/>
      <c r="D45" s="103">
        <v>6216.64</v>
      </c>
      <c r="E45" s="714">
        <v>6957.69</v>
      </c>
      <c r="F45" s="714">
        <v>6957.69</v>
      </c>
      <c r="G45" s="87">
        <v>6957.69</v>
      </c>
      <c r="H45" s="87">
        <v>6957.69</v>
      </c>
      <c r="I45" s="87">
        <v>13110.88</v>
      </c>
      <c r="J45" s="87">
        <v>10389.89</v>
      </c>
      <c r="K45" s="87">
        <v>7668.9</v>
      </c>
      <c r="L45" s="87">
        <v>6446.22</v>
      </c>
      <c r="M45" s="105"/>
      <c r="N45" s="105"/>
      <c r="O45" s="105"/>
      <c r="P45" s="462"/>
      <c r="Q45" s="462"/>
      <c r="R45" s="462"/>
      <c r="S45" s="462"/>
      <c r="T45" s="462"/>
      <c r="U45" s="462"/>
    </row>
    <row r="46" spans="2:21" s="169" customFormat="1" ht="15">
      <c r="B46" s="99" t="s">
        <v>34</v>
      </c>
      <c r="C46" s="105"/>
      <c r="D46" s="103">
        <v>12506.25</v>
      </c>
      <c r="E46" s="714">
        <v>1511.52</v>
      </c>
      <c r="F46" s="714"/>
      <c r="G46" s="103">
        <v>0</v>
      </c>
      <c r="H46" s="87">
        <v>25978.68</v>
      </c>
      <c r="I46" s="87">
        <v>12914.06</v>
      </c>
      <c r="J46" s="87">
        <v>12914.06</v>
      </c>
      <c r="K46" s="87">
        <v>12914.06</v>
      </c>
      <c r="L46" s="87">
        <v>12914.06</v>
      </c>
      <c r="M46" s="105"/>
      <c r="N46" s="105"/>
      <c r="O46" s="105"/>
      <c r="P46" s="462"/>
      <c r="Q46" s="462"/>
      <c r="R46" s="462"/>
      <c r="S46" s="462"/>
      <c r="T46" s="462"/>
      <c r="U46" s="462"/>
    </row>
    <row r="47" spans="2:21" s="169" customFormat="1" ht="14.25" hidden="1">
      <c r="B47" s="99" t="s">
        <v>489</v>
      </c>
      <c r="C47" s="105"/>
      <c r="D47" s="103">
        <v>11280</v>
      </c>
      <c r="E47" s="714"/>
      <c r="F47" s="714"/>
      <c r="G47" s="103"/>
      <c r="H47" s="87"/>
      <c r="I47" s="87">
        <v>11280</v>
      </c>
      <c r="J47" s="87">
        <v>11280</v>
      </c>
      <c r="K47" s="87">
        <v>11280</v>
      </c>
      <c r="L47" s="87">
        <v>11280</v>
      </c>
      <c r="M47" s="105"/>
      <c r="N47" s="105"/>
      <c r="O47" s="105"/>
      <c r="P47" s="462"/>
      <c r="Q47" s="462"/>
      <c r="R47" s="462"/>
      <c r="S47" s="462"/>
      <c r="T47" s="462"/>
      <c r="U47" s="462"/>
    </row>
    <row r="48" spans="2:21" s="169" customFormat="1" ht="15">
      <c r="B48" s="99" t="s">
        <v>488</v>
      </c>
      <c r="C48" s="105"/>
      <c r="D48" s="103">
        <v>1473.39</v>
      </c>
      <c r="E48" s="714">
        <v>6586.96</v>
      </c>
      <c r="F48" s="714">
        <v>6586.96</v>
      </c>
      <c r="G48" s="87">
        <v>6586.96</v>
      </c>
      <c r="H48" s="87">
        <v>6586.96</v>
      </c>
      <c r="I48" s="87">
        <v>1473.39</v>
      </c>
      <c r="J48" s="87">
        <v>1473.39</v>
      </c>
      <c r="K48" s="87">
        <v>1473.39</v>
      </c>
      <c r="L48" s="87">
        <v>1473.39</v>
      </c>
      <c r="M48" s="105"/>
      <c r="N48" s="105"/>
      <c r="O48" s="105"/>
      <c r="P48" s="462"/>
      <c r="Q48" s="462"/>
      <c r="R48" s="462"/>
      <c r="S48" s="462"/>
      <c r="T48" s="462"/>
      <c r="U48" s="462"/>
    </row>
    <row r="49" spans="2:21" s="169" customFormat="1" ht="15">
      <c r="B49" s="99" t="s">
        <v>1008</v>
      </c>
      <c r="C49" s="105"/>
      <c r="D49" s="103"/>
      <c r="E49" s="714">
        <v>1049.39</v>
      </c>
      <c r="F49" s="714"/>
      <c r="G49" s="87"/>
      <c r="H49" s="87"/>
      <c r="I49" s="87"/>
      <c r="J49" s="87"/>
      <c r="K49" s="87"/>
      <c r="L49" s="87"/>
      <c r="M49" s="105"/>
      <c r="N49" s="105"/>
      <c r="O49" s="105"/>
      <c r="P49" s="462"/>
      <c r="Q49" s="462"/>
      <c r="R49" s="462"/>
      <c r="S49" s="462"/>
      <c r="T49" s="462"/>
      <c r="U49" s="462"/>
    </row>
    <row r="50" spans="2:21" s="169" customFormat="1" ht="15">
      <c r="B50" s="105" t="s">
        <v>273</v>
      </c>
      <c r="C50" s="105"/>
      <c r="D50" s="103">
        <v>193530.41</v>
      </c>
      <c r="E50" s="714">
        <v>70504.2</v>
      </c>
      <c r="F50" s="714">
        <v>36059.4</v>
      </c>
      <c r="G50" s="87">
        <v>23420.16</v>
      </c>
      <c r="H50" s="87">
        <v>10780.92</v>
      </c>
      <c r="I50" s="87">
        <v>193530.41</v>
      </c>
      <c r="J50" s="87">
        <v>193530.41</v>
      </c>
      <c r="K50" s="87">
        <v>193530.41</v>
      </c>
      <c r="L50" s="87">
        <v>193530.41</v>
      </c>
      <c r="M50" s="105"/>
      <c r="N50" s="105"/>
      <c r="O50" s="105"/>
      <c r="P50" s="462"/>
      <c r="Q50" s="462"/>
      <c r="R50" s="462"/>
      <c r="S50" s="462"/>
      <c r="T50" s="462"/>
      <c r="U50" s="462"/>
    </row>
    <row r="51" spans="2:21" s="169" customFormat="1" ht="15">
      <c r="B51" s="105"/>
      <c r="C51" s="105"/>
      <c r="D51" s="196"/>
      <c r="E51" s="713"/>
      <c r="F51" s="713"/>
      <c r="G51" s="196"/>
      <c r="H51" s="100"/>
      <c r="I51" s="100"/>
      <c r="J51" s="87"/>
      <c r="K51" s="87"/>
      <c r="L51" s="87"/>
      <c r="M51" s="105"/>
      <c r="N51" s="105"/>
      <c r="O51" s="105"/>
      <c r="P51" s="462"/>
      <c r="Q51" s="462"/>
      <c r="R51" s="462"/>
      <c r="S51" s="462"/>
      <c r="T51" s="462"/>
      <c r="U51" s="462"/>
    </row>
    <row r="52" spans="2:21" s="169" customFormat="1" ht="15.75" thickBot="1">
      <c r="B52" s="96" t="s">
        <v>38</v>
      </c>
      <c r="C52" s="105"/>
      <c r="D52" s="15">
        <f aca="true" t="shared" si="1" ref="D52:L52">SUM(D41:D51)</f>
        <v>1306963.6099999996</v>
      </c>
      <c r="E52" s="715">
        <f>SUM(E41:E51)</f>
        <v>1128603.64</v>
      </c>
      <c r="F52" s="715">
        <f>SUM(F41:F51)</f>
        <v>1069076.3199999998</v>
      </c>
      <c r="G52" s="104">
        <f>SUM(G41:G51)</f>
        <v>1052937.16</v>
      </c>
      <c r="H52" s="14">
        <f t="shared" si="1"/>
        <v>1062776.68</v>
      </c>
      <c r="I52" s="14">
        <f t="shared" si="1"/>
        <v>1510787.0899999999</v>
      </c>
      <c r="J52" s="15">
        <f t="shared" si="1"/>
        <v>1434403.49</v>
      </c>
      <c r="K52" s="15">
        <f t="shared" si="1"/>
        <v>1358019.8899999997</v>
      </c>
      <c r="L52" s="15">
        <f t="shared" si="1"/>
        <v>1322569.3599999999</v>
      </c>
      <c r="M52" s="105"/>
      <c r="N52" s="105"/>
      <c r="O52" s="105"/>
      <c r="P52" s="462" t="s">
        <v>588</v>
      </c>
      <c r="Q52" s="462"/>
      <c r="R52" s="551">
        <f>+F52-G52</f>
        <v>16139.159999999916</v>
      </c>
      <c r="S52" s="462"/>
      <c r="T52" s="462"/>
      <c r="U52" s="462"/>
    </row>
    <row r="53" spans="5:12" ht="15.75" thickTop="1">
      <c r="E53" s="714"/>
      <c r="F53" s="714"/>
      <c r="K53" s="87"/>
      <c r="L53" s="87"/>
    </row>
    <row r="54" spans="2:21" s="168" customFormat="1" ht="15">
      <c r="B54" s="105"/>
      <c r="C54" s="105"/>
      <c r="D54" s="99"/>
      <c r="E54" s="714"/>
      <c r="F54" s="714"/>
      <c r="G54" s="99"/>
      <c r="H54" s="99"/>
      <c r="I54" s="99"/>
      <c r="J54" s="99"/>
      <c r="K54" s="87"/>
      <c r="L54" s="87"/>
      <c r="M54" s="105"/>
      <c r="N54" s="105"/>
      <c r="O54" s="105"/>
      <c r="P54" s="462"/>
      <c r="Q54" s="462"/>
      <c r="R54" s="462"/>
      <c r="S54" s="462"/>
      <c r="T54" s="462"/>
      <c r="U54" s="462"/>
    </row>
    <row r="55" spans="2:21" s="168" customFormat="1" ht="15">
      <c r="B55" s="105"/>
      <c r="C55" s="105"/>
      <c r="D55" s="99"/>
      <c r="E55" s="714"/>
      <c r="F55" s="714"/>
      <c r="G55" s="99"/>
      <c r="H55" s="99"/>
      <c r="I55" s="99"/>
      <c r="J55" s="99"/>
      <c r="K55" s="87"/>
      <c r="L55" s="87"/>
      <c r="M55" s="105"/>
      <c r="N55" s="105"/>
      <c r="O55" s="105"/>
      <c r="P55" s="462"/>
      <c r="Q55" s="462"/>
      <c r="R55" s="462"/>
      <c r="S55" s="462"/>
      <c r="T55" s="462"/>
      <c r="U55" s="462"/>
    </row>
    <row r="56" spans="2:21" s="169" customFormat="1" ht="15">
      <c r="B56" s="192" t="s">
        <v>256</v>
      </c>
      <c r="C56" s="105"/>
      <c r="D56" s="99"/>
      <c r="E56" s="714"/>
      <c r="F56" s="714"/>
      <c r="G56" s="99"/>
      <c r="H56" s="99"/>
      <c r="I56" s="87"/>
      <c r="J56" s="87"/>
      <c r="K56" s="87"/>
      <c r="L56" s="87"/>
      <c r="M56" s="105"/>
      <c r="N56" s="105"/>
      <c r="O56" s="105"/>
      <c r="P56" s="462"/>
      <c r="Q56" s="462"/>
      <c r="R56" s="462"/>
      <c r="S56" s="462"/>
      <c r="T56" s="462"/>
      <c r="U56" s="462"/>
    </row>
    <row r="57" spans="2:21" s="169" customFormat="1" ht="18" customHeight="1">
      <c r="B57" s="105" t="s">
        <v>29</v>
      </c>
      <c r="C57" s="105"/>
      <c r="D57" s="103">
        <v>171612.95</v>
      </c>
      <c r="E57" s="714">
        <v>181010</v>
      </c>
      <c r="F57" s="714">
        <v>160891.64</v>
      </c>
      <c r="G57" s="103">
        <v>141036.68</v>
      </c>
      <c r="H57" s="87">
        <v>136955.5</v>
      </c>
      <c r="I57" s="87">
        <v>193258.8</v>
      </c>
      <c r="J57" s="87">
        <v>193258.8</v>
      </c>
      <c r="K57" s="87">
        <v>193258.8</v>
      </c>
      <c r="L57" s="87">
        <v>190884.05</v>
      </c>
      <c r="M57" s="105"/>
      <c r="N57" s="105"/>
      <c r="O57" s="105"/>
      <c r="P57" s="462"/>
      <c r="Q57" s="462"/>
      <c r="R57" s="462"/>
      <c r="S57" s="462"/>
      <c r="T57" s="462"/>
      <c r="U57" s="462"/>
    </row>
    <row r="58" spans="2:21" s="169" customFormat="1" ht="18" customHeight="1" hidden="1">
      <c r="B58" s="105" t="s">
        <v>30</v>
      </c>
      <c r="C58" s="105"/>
      <c r="D58" s="103"/>
      <c r="E58" s="714"/>
      <c r="F58" s="714"/>
      <c r="G58" s="103"/>
      <c r="H58" s="87"/>
      <c r="I58" s="87"/>
      <c r="J58" s="87"/>
      <c r="K58" s="87"/>
      <c r="L58" s="87"/>
      <c r="M58" s="105"/>
      <c r="N58" s="105"/>
      <c r="O58" s="105"/>
      <c r="P58" s="462"/>
      <c r="Q58" s="462"/>
      <c r="R58" s="462"/>
      <c r="S58" s="462"/>
      <c r="T58" s="462"/>
      <c r="U58" s="462"/>
    </row>
    <row r="59" spans="2:21" s="169" customFormat="1" ht="18" customHeight="1" hidden="1">
      <c r="B59" s="105" t="s">
        <v>31</v>
      </c>
      <c r="C59" s="105"/>
      <c r="D59" s="103"/>
      <c r="E59" s="714"/>
      <c r="F59" s="714"/>
      <c r="G59" s="103"/>
      <c r="H59" s="87"/>
      <c r="I59" s="87"/>
      <c r="J59" s="87"/>
      <c r="K59" s="87"/>
      <c r="L59" s="87"/>
      <c r="M59" s="105"/>
      <c r="N59" s="105"/>
      <c r="O59" s="105"/>
      <c r="P59" s="462"/>
      <c r="Q59" s="462"/>
      <c r="R59" s="462"/>
      <c r="S59" s="462"/>
      <c r="T59" s="462"/>
      <c r="U59" s="462"/>
    </row>
    <row r="60" spans="2:21" s="169" customFormat="1" ht="18" customHeight="1">
      <c r="B60" s="105" t="s">
        <v>32</v>
      </c>
      <c r="C60" s="105"/>
      <c r="D60" s="103"/>
      <c r="E60" s="714">
        <v>26740</v>
      </c>
      <c r="F60" s="714">
        <v>13904.8</v>
      </c>
      <c r="G60" s="87">
        <v>1069.6</v>
      </c>
      <c r="H60" s="87"/>
      <c r="I60" s="87"/>
      <c r="J60" s="87"/>
      <c r="K60" s="87"/>
      <c r="L60" s="87"/>
      <c r="M60" s="105"/>
      <c r="N60" s="105"/>
      <c r="O60" s="105"/>
      <c r="P60" s="462"/>
      <c r="Q60" s="462"/>
      <c r="R60" s="462"/>
      <c r="S60" s="462"/>
      <c r="T60" s="462"/>
      <c r="U60" s="462"/>
    </row>
    <row r="61" spans="2:21" s="169" customFormat="1" ht="18" customHeight="1">
      <c r="B61" s="105" t="s">
        <v>4</v>
      </c>
      <c r="C61" s="105"/>
      <c r="D61" s="103">
        <v>3801.46</v>
      </c>
      <c r="E61" s="714">
        <v>2443.32</v>
      </c>
      <c r="F61" s="714">
        <v>1629.24</v>
      </c>
      <c r="G61" s="87">
        <v>1629.24</v>
      </c>
      <c r="H61" s="87">
        <v>1629.24</v>
      </c>
      <c r="I61" s="87">
        <v>15477.44</v>
      </c>
      <c r="J61" s="87">
        <v>13033.58</v>
      </c>
      <c r="K61" s="87">
        <v>10589.8</v>
      </c>
      <c r="L61" s="87">
        <v>7331.4</v>
      </c>
      <c r="M61" s="105"/>
      <c r="N61" s="105"/>
      <c r="O61" s="105"/>
      <c r="P61" s="462"/>
      <c r="Q61" s="462"/>
      <c r="R61" s="462"/>
      <c r="S61" s="462"/>
      <c r="T61" s="462"/>
      <c r="U61" s="462"/>
    </row>
    <row r="62" spans="2:21" s="169" customFormat="1" ht="15">
      <c r="B62" s="105" t="s">
        <v>33</v>
      </c>
      <c r="C62" s="105"/>
      <c r="D62" s="103">
        <v>2525.42</v>
      </c>
      <c r="E62" s="714">
        <v>2548.08</v>
      </c>
      <c r="F62" s="714">
        <v>2249.1</v>
      </c>
      <c r="G62" s="87">
        <v>2249.1</v>
      </c>
      <c r="H62" s="87">
        <v>2249.1</v>
      </c>
      <c r="I62" s="87">
        <v>2755</v>
      </c>
      <c r="J62" s="87">
        <v>2755</v>
      </c>
      <c r="K62" s="87">
        <v>2755</v>
      </c>
      <c r="L62" s="87">
        <v>2755</v>
      </c>
      <c r="M62" s="105"/>
      <c r="N62" s="105"/>
      <c r="O62" s="105"/>
      <c r="P62" s="462"/>
      <c r="Q62" s="462"/>
      <c r="R62" s="462"/>
      <c r="S62" s="462"/>
      <c r="T62" s="462"/>
      <c r="U62" s="462"/>
    </row>
    <row r="63" spans="2:21" s="169" customFormat="1" ht="14.25" hidden="1">
      <c r="B63" s="105" t="s">
        <v>489</v>
      </c>
      <c r="C63" s="105"/>
      <c r="D63" s="103">
        <v>14526.56</v>
      </c>
      <c r="E63" s="714"/>
      <c r="F63" s="714"/>
      <c r="G63" s="103"/>
      <c r="H63" s="87"/>
      <c r="I63" s="87">
        <v>15495</v>
      </c>
      <c r="J63" s="87">
        <v>15495</v>
      </c>
      <c r="K63" s="87">
        <v>15495</v>
      </c>
      <c r="L63" s="87">
        <v>15495</v>
      </c>
      <c r="M63" s="105"/>
      <c r="N63" s="105"/>
      <c r="O63" s="105"/>
      <c r="P63" s="462"/>
      <c r="Q63" s="462"/>
      <c r="R63" s="462"/>
      <c r="S63" s="462"/>
      <c r="T63" s="462"/>
      <c r="U63" s="462"/>
    </row>
    <row r="64" spans="2:21" s="169" customFormat="1" ht="15">
      <c r="B64" s="105" t="s">
        <v>490</v>
      </c>
      <c r="C64" s="105"/>
      <c r="D64" s="103">
        <v>4682.81</v>
      </c>
      <c r="E64" s="714">
        <v>4078.43</v>
      </c>
      <c r="F64" s="714">
        <v>4078.43</v>
      </c>
      <c r="G64" s="87">
        <v>4078.43</v>
      </c>
      <c r="H64" s="87">
        <v>4078.43</v>
      </c>
      <c r="I64" s="87">
        <v>4995</v>
      </c>
      <c r="J64" s="87">
        <v>4995</v>
      </c>
      <c r="K64" s="87">
        <v>4995</v>
      </c>
      <c r="L64" s="87">
        <v>4995</v>
      </c>
      <c r="M64" s="105"/>
      <c r="N64" s="105"/>
      <c r="O64" s="105"/>
      <c r="P64" s="462"/>
      <c r="Q64" s="462"/>
      <c r="R64" s="462"/>
      <c r="S64" s="462"/>
      <c r="T64" s="462"/>
      <c r="U64" s="462"/>
    </row>
    <row r="65" spans="2:21" s="169" customFormat="1" ht="14.25" hidden="1">
      <c r="B65" s="99" t="s">
        <v>34</v>
      </c>
      <c r="C65" s="105"/>
      <c r="D65" s="103"/>
      <c r="E65" s="714"/>
      <c r="F65" s="714"/>
      <c r="G65" s="103"/>
      <c r="H65" s="87"/>
      <c r="I65" s="87"/>
      <c r="J65" s="87"/>
      <c r="K65" s="87"/>
      <c r="L65" s="87"/>
      <c r="M65" s="105"/>
      <c r="N65" s="105"/>
      <c r="O65" s="105"/>
      <c r="P65" s="462"/>
      <c r="Q65" s="462"/>
      <c r="R65" s="462"/>
      <c r="S65" s="462"/>
      <c r="T65" s="462"/>
      <c r="U65" s="462"/>
    </row>
    <row r="66" spans="2:21" s="169" customFormat="1" ht="15">
      <c r="B66" s="99" t="s">
        <v>39</v>
      </c>
      <c r="C66" s="105"/>
      <c r="D66" s="103">
        <v>32333.05</v>
      </c>
      <c r="E66" s="714">
        <f>5359.01+1470.08</f>
        <v>6829.09</v>
      </c>
      <c r="F66" s="714">
        <f>443.45+1470.08</f>
        <v>1913.53</v>
      </c>
      <c r="G66" s="87">
        <f>443.45+1470.08</f>
        <v>1913.53</v>
      </c>
      <c r="H66" s="87">
        <f>443.45+1470.08</f>
        <v>1913.53</v>
      </c>
      <c r="I66" s="87">
        <f>36640.9+1470.08</f>
        <v>38110.98</v>
      </c>
      <c r="J66" s="87">
        <f>36265.9+735.04</f>
        <v>37000.94</v>
      </c>
      <c r="K66" s="87">
        <v>35890.9</v>
      </c>
      <c r="L66" s="87">
        <v>35515.9</v>
      </c>
      <c r="M66" s="105"/>
      <c r="N66" s="105"/>
      <c r="O66" s="105"/>
      <c r="P66" s="462"/>
      <c r="Q66" s="462">
        <v>443.45</v>
      </c>
      <c r="R66" s="462">
        <v>5359.01</v>
      </c>
      <c r="S66" s="462"/>
      <c r="T66" s="462"/>
      <c r="U66" s="462"/>
    </row>
    <row r="67" spans="2:21" s="169" customFormat="1" ht="15">
      <c r="B67" s="105"/>
      <c r="C67" s="105"/>
      <c r="D67" s="196"/>
      <c r="E67" s="713"/>
      <c r="F67" s="713"/>
      <c r="G67" s="196"/>
      <c r="H67" s="100"/>
      <c r="I67" s="100"/>
      <c r="J67" s="87"/>
      <c r="K67" s="87"/>
      <c r="L67" s="87"/>
      <c r="M67" s="105"/>
      <c r="N67" s="105"/>
      <c r="O67" s="105"/>
      <c r="P67" s="462"/>
      <c r="Q67" s="462">
        <v>1470.08</v>
      </c>
      <c r="R67" s="462"/>
      <c r="S67" s="462"/>
      <c r="T67" s="462"/>
      <c r="U67" s="462"/>
    </row>
    <row r="68" spans="2:21" s="169" customFormat="1" ht="15.75" thickBot="1">
      <c r="B68" s="96" t="s">
        <v>40</v>
      </c>
      <c r="C68" s="105"/>
      <c r="D68" s="15">
        <f>SUM(D57:D67)</f>
        <v>229482.25</v>
      </c>
      <c r="E68" s="715">
        <f>SUM(E57:E67)</f>
        <v>223648.91999999998</v>
      </c>
      <c r="F68" s="715">
        <f>SUM(F57:F67)</f>
        <v>184666.74</v>
      </c>
      <c r="G68" s="104">
        <f>SUM(G57:G67)</f>
        <v>151976.58</v>
      </c>
      <c r="H68" s="14">
        <f>SUM(H57:H66)</f>
        <v>146825.8</v>
      </c>
      <c r="I68" s="14">
        <f>SUM(I57:I66)</f>
        <v>270092.22</v>
      </c>
      <c r="J68" s="15">
        <f>SUM(J57:J66)</f>
        <v>266538.31999999995</v>
      </c>
      <c r="K68" s="15">
        <f>SUM(K57:K67)</f>
        <v>262984.5</v>
      </c>
      <c r="L68" s="15">
        <f>SUM(L57:L67)</f>
        <v>256976.34999999998</v>
      </c>
      <c r="M68" s="105"/>
      <c r="N68" s="105"/>
      <c r="O68" s="105"/>
      <c r="P68" s="462" t="s">
        <v>588</v>
      </c>
      <c r="Q68" s="462"/>
      <c r="R68" s="551">
        <f>+F68-G68</f>
        <v>32690.160000000003</v>
      </c>
      <c r="S68" s="462"/>
      <c r="T68" s="462"/>
      <c r="U68" s="462"/>
    </row>
    <row r="69" spans="5:12" ht="15.75" thickTop="1">
      <c r="E69" s="714"/>
      <c r="F69" s="714"/>
      <c r="H69" s="191"/>
      <c r="K69" s="87"/>
      <c r="L69" s="87"/>
    </row>
    <row r="70" spans="5:12" ht="15">
      <c r="E70" s="714"/>
      <c r="F70" s="714"/>
      <c r="K70" s="87"/>
      <c r="L70" s="87"/>
    </row>
    <row r="71" spans="5:12" ht="15">
      <c r="E71" s="714"/>
      <c r="F71" s="714"/>
      <c r="K71" s="87"/>
      <c r="L71" s="87"/>
    </row>
    <row r="72" spans="2:12" ht="15">
      <c r="B72" s="192" t="s">
        <v>608</v>
      </c>
      <c r="E72" s="714"/>
      <c r="F72" s="714"/>
      <c r="I72" s="87"/>
      <c r="J72" s="87"/>
      <c r="K72" s="87"/>
      <c r="L72" s="87"/>
    </row>
    <row r="73" spans="2:12" ht="15">
      <c r="B73" s="105" t="s">
        <v>29</v>
      </c>
      <c r="D73" s="103">
        <v>171612.95</v>
      </c>
      <c r="E73" s="714">
        <v>45666.08</v>
      </c>
      <c r="F73" s="714">
        <v>35771.48</v>
      </c>
      <c r="G73" s="103">
        <v>25876.88</v>
      </c>
      <c r="H73" s="103">
        <v>15982.28</v>
      </c>
      <c r="I73" s="87">
        <v>25620</v>
      </c>
      <c r="J73" s="87">
        <v>0</v>
      </c>
      <c r="K73" s="87"/>
      <c r="L73" s="87"/>
    </row>
    <row r="74" spans="5:12" ht="15">
      <c r="E74" s="713"/>
      <c r="F74" s="713"/>
      <c r="G74" s="100"/>
      <c r="H74" s="100"/>
      <c r="I74" s="100"/>
      <c r="K74" s="87"/>
      <c r="L74" s="87"/>
    </row>
    <row r="75" spans="2:18" ht="15.75" thickBot="1">
      <c r="B75" s="96" t="s">
        <v>609</v>
      </c>
      <c r="D75" s="15">
        <f>SUM(D64:D74)</f>
        <v>438111.06</v>
      </c>
      <c r="E75" s="715">
        <f>SUM(E73:E74)</f>
        <v>45666.08</v>
      </c>
      <c r="F75" s="715">
        <f>SUM(F73:F74)</f>
        <v>35771.48</v>
      </c>
      <c r="G75" s="104">
        <f>SUM(G73:G74)</f>
        <v>25876.88</v>
      </c>
      <c r="H75" s="14">
        <f>SUM(H73:H74)</f>
        <v>15982.28</v>
      </c>
      <c r="I75" s="14">
        <f>SUM(I73:I74)</f>
        <v>25620</v>
      </c>
      <c r="J75" s="15">
        <f>+J73</f>
        <v>0</v>
      </c>
      <c r="K75" s="87"/>
      <c r="L75" s="87"/>
      <c r="P75" s="462" t="s">
        <v>588</v>
      </c>
      <c r="R75" s="473">
        <f>+F75-G75</f>
        <v>9894.600000000002</v>
      </c>
    </row>
    <row r="76" spans="5:12" ht="15.75" thickTop="1">
      <c r="E76" s="714"/>
      <c r="F76" s="714"/>
      <c r="K76" s="87"/>
      <c r="L76" s="87"/>
    </row>
    <row r="77" spans="5:12" ht="15">
      <c r="E77" s="714"/>
      <c r="F77" s="714"/>
      <c r="K77" s="87"/>
      <c r="L77" s="87"/>
    </row>
    <row r="78" spans="2:12" ht="15">
      <c r="B78" s="192" t="s">
        <v>610</v>
      </c>
      <c r="E78" s="714"/>
      <c r="F78" s="714"/>
      <c r="I78" s="87"/>
      <c r="J78" s="87"/>
      <c r="K78" s="87"/>
      <c r="L78" s="87"/>
    </row>
    <row r="79" spans="2:12" ht="15">
      <c r="B79" s="105" t="s">
        <v>29</v>
      </c>
      <c r="D79" s="103">
        <v>171612.95</v>
      </c>
      <c r="E79" s="714">
        <v>55528.63</v>
      </c>
      <c r="F79" s="714">
        <v>43188.91</v>
      </c>
      <c r="G79" s="103">
        <v>30849.19</v>
      </c>
      <c r="H79" s="103">
        <v>18509.47</v>
      </c>
      <c r="I79" s="87">
        <v>15434.56</v>
      </c>
      <c r="J79" s="87">
        <v>0</v>
      </c>
      <c r="K79" s="87"/>
      <c r="L79" s="87"/>
    </row>
    <row r="80" spans="5:12" ht="15">
      <c r="E80" s="713"/>
      <c r="F80" s="713"/>
      <c r="G80" s="197"/>
      <c r="H80" s="197"/>
      <c r="I80" s="197"/>
      <c r="K80" s="87"/>
      <c r="L80" s="87"/>
    </row>
    <row r="81" spans="2:18" ht="15.75" thickBot="1">
      <c r="B81" s="96" t="s">
        <v>609</v>
      </c>
      <c r="D81" s="15">
        <f>SUM(D70:D80)</f>
        <v>781336.96</v>
      </c>
      <c r="E81" s="715">
        <f>SUM(E79:E80)</f>
        <v>55528.63</v>
      </c>
      <c r="F81" s="715">
        <f>SUM(F79:F80)</f>
        <v>43188.91</v>
      </c>
      <c r="G81" s="14">
        <f>SUM(G79:G80)</f>
        <v>30849.19</v>
      </c>
      <c r="H81" s="14">
        <f>SUM(H79)</f>
        <v>18509.47</v>
      </c>
      <c r="I81" s="14">
        <f>SUM(I79:I80)</f>
        <v>15434.56</v>
      </c>
      <c r="J81" s="15">
        <f>+J79</f>
        <v>0</v>
      </c>
      <c r="K81" s="87"/>
      <c r="L81" s="87"/>
      <c r="P81" s="462" t="s">
        <v>588</v>
      </c>
      <c r="R81" s="402">
        <f>+F81-G81</f>
        <v>12339.720000000005</v>
      </c>
    </row>
    <row r="82" spans="5:20" ht="15.75" thickTop="1">
      <c r="E82" s="714"/>
      <c r="F82" s="714"/>
      <c r="K82" s="87"/>
      <c r="L82" s="87"/>
      <c r="R82" s="402">
        <f>SUM(R7:R81)</f>
        <v>3190407.91</v>
      </c>
      <c r="T82" s="402">
        <f>+R82+R149</f>
        <v>5425963.000000001</v>
      </c>
    </row>
    <row r="83" spans="5:12" ht="15">
      <c r="E83" s="714"/>
      <c r="F83" s="714"/>
      <c r="K83" s="87"/>
      <c r="L83" s="87"/>
    </row>
    <row r="84" spans="5:12" ht="15">
      <c r="E84" s="714"/>
      <c r="F84" s="714"/>
      <c r="K84" s="87"/>
      <c r="L84" s="87"/>
    </row>
    <row r="85" spans="2:12" ht="15">
      <c r="B85" s="96" t="s">
        <v>41</v>
      </c>
      <c r="E85" s="714"/>
      <c r="F85" s="714"/>
      <c r="K85" s="87"/>
      <c r="L85" s="87"/>
    </row>
    <row r="86" spans="5:12" ht="15">
      <c r="E86" s="714"/>
      <c r="F86" s="714"/>
      <c r="K86" s="87"/>
      <c r="L86" s="87"/>
    </row>
    <row r="87" spans="2:12" ht="15">
      <c r="B87" s="105" t="s">
        <v>5</v>
      </c>
      <c r="D87" s="87">
        <v>2364459.22</v>
      </c>
      <c r="E87" s="714">
        <v>5304064.11</v>
      </c>
      <c r="F87" s="714">
        <v>4794416.31</v>
      </c>
      <c r="G87" s="87">
        <v>4581168.39</v>
      </c>
      <c r="H87" s="87">
        <v>4367920.47</v>
      </c>
      <c r="I87" s="87">
        <v>3728176.59</v>
      </c>
      <c r="J87" s="87">
        <v>3195056.59</v>
      </c>
      <c r="K87" s="87">
        <v>2661936.59</v>
      </c>
      <c r="L87" s="87">
        <v>2395376.59</v>
      </c>
    </row>
    <row r="88" spans="1:21" s="168" customFormat="1" ht="15">
      <c r="A88" s="89"/>
      <c r="B88" s="105" t="s">
        <v>670</v>
      </c>
      <c r="C88" s="105"/>
      <c r="D88" s="87"/>
      <c r="E88" s="714">
        <v>205295.75</v>
      </c>
      <c r="F88" s="714">
        <v>106753.79</v>
      </c>
      <c r="G88" s="87">
        <v>8211.83</v>
      </c>
      <c r="H88" s="87"/>
      <c r="I88" s="87"/>
      <c r="J88" s="87"/>
      <c r="K88" s="87"/>
      <c r="L88" s="87"/>
      <c r="M88" s="105"/>
      <c r="N88" s="105"/>
      <c r="O88" s="105"/>
      <c r="P88" s="462"/>
      <c r="Q88" s="462"/>
      <c r="R88" s="462"/>
      <c r="S88" s="462"/>
      <c r="T88" s="462"/>
      <c r="U88" s="462"/>
    </row>
    <row r="89" spans="2:12" ht="15">
      <c r="B89" s="105" t="s">
        <v>42</v>
      </c>
      <c r="D89" s="87">
        <v>11666504.44</v>
      </c>
      <c r="E89" s="714">
        <v>17011601.51</v>
      </c>
      <c r="F89" s="714">
        <v>15844011.39</v>
      </c>
      <c r="G89" s="87">
        <v>14800216.23</v>
      </c>
      <c r="H89" s="87">
        <v>14029992.38</v>
      </c>
      <c r="I89" s="87">
        <v>13165046.1</v>
      </c>
      <c r="J89" s="87">
        <v>12415775.27</v>
      </c>
      <c r="K89" s="87">
        <v>11666504.44</v>
      </c>
      <c r="L89" s="87">
        <v>11666504.44</v>
      </c>
    </row>
    <row r="90" spans="2:12" ht="15">
      <c r="B90" s="105" t="s">
        <v>6</v>
      </c>
      <c r="D90" s="87">
        <v>562854.95</v>
      </c>
      <c r="E90" s="714">
        <f>470475.44+227112.03</f>
        <v>697587.47</v>
      </c>
      <c r="F90" s="714">
        <f>454409.6+227112.03</f>
        <v>681521.63</v>
      </c>
      <c r="G90" s="87">
        <f>454409.6+227112.03</f>
        <v>681521.63</v>
      </c>
      <c r="H90" s="87">
        <f>454409.6+227112.03</f>
        <v>681521.63</v>
      </c>
      <c r="I90" s="87">
        <v>681521.63</v>
      </c>
      <c r="J90" s="87">
        <v>681521.63</v>
      </c>
      <c r="K90" s="87">
        <v>681521.63</v>
      </c>
      <c r="L90" s="87">
        <v>634054.95</v>
      </c>
    </row>
    <row r="91" spans="1:12" ht="15">
      <c r="A91" s="89"/>
      <c r="B91" s="105" t="s">
        <v>674</v>
      </c>
      <c r="D91" s="197"/>
      <c r="E91" s="714">
        <v>579754.8</v>
      </c>
      <c r="F91" s="714">
        <v>480368.16</v>
      </c>
      <c r="G91" s="87">
        <v>380981.52</v>
      </c>
      <c r="H91" s="188"/>
      <c r="I91" s="87"/>
      <c r="J91" s="87"/>
      <c r="K91" s="87"/>
      <c r="L91" s="87"/>
    </row>
    <row r="92" spans="2:12" ht="15.75" thickBot="1">
      <c r="B92" s="96" t="s">
        <v>43</v>
      </c>
      <c r="D92" s="101">
        <f aca="true" t="shared" si="2" ref="D92:L92">SUM(D87:D91)</f>
        <v>14593818.61</v>
      </c>
      <c r="E92" s="716">
        <f>SUM(E87:E91)</f>
        <v>23798303.64</v>
      </c>
      <c r="F92" s="716">
        <f>SUM(F87:F91)</f>
        <v>21907071.28</v>
      </c>
      <c r="G92" s="101">
        <f>SUM(G87:G91)</f>
        <v>20452099.599999998</v>
      </c>
      <c r="H92" s="101">
        <f t="shared" si="2"/>
        <v>19079434.48</v>
      </c>
      <c r="I92" s="101">
        <f t="shared" si="2"/>
        <v>17574744.319999997</v>
      </c>
      <c r="J92" s="101">
        <f t="shared" si="2"/>
        <v>16292353.49</v>
      </c>
      <c r="K92" s="101">
        <f t="shared" si="2"/>
        <v>15009962.66</v>
      </c>
      <c r="L92" s="101">
        <f t="shared" si="2"/>
        <v>14695935.979999999</v>
      </c>
    </row>
    <row r="93" spans="5:12" ht="15.75" thickTop="1">
      <c r="E93" s="714"/>
      <c r="F93" s="714"/>
      <c r="K93" s="87"/>
      <c r="L93" s="87"/>
    </row>
    <row r="94" spans="2:12" ht="15">
      <c r="B94" s="221"/>
      <c r="E94" s="714"/>
      <c r="F94" s="714"/>
      <c r="K94" s="87"/>
      <c r="L94" s="87"/>
    </row>
    <row r="95" spans="5:12" ht="15">
      <c r="E95" s="714"/>
      <c r="F95" s="714"/>
      <c r="K95" s="87"/>
      <c r="L95" s="87"/>
    </row>
    <row r="96" spans="5:12" ht="15">
      <c r="E96" s="714"/>
      <c r="F96" s="714"/>
      <c r="K96" s="87"/>
      <c r="L96" s="87"/>
    </row>
    <row r="97" spans="5:12" ht="15">
      <c r="E97" s="714"/>
      <c r="F97" s="714"/>
      <c r="K97" s="87"/>
      <c r="L97" s="87"/>
    </row>
    <row r="98" spans="2:12" ht="15">
      <c r="B98" s="96" t="s">
        <v>44</v>
      </c>
      <c r="E98" s="714"/>
      <c r="F98" s="714"/>
      <c r="K98" s="87"/>
      <c r="L98" s="87"/>
    </row>
    <row r="99" spans="2:12" ht="15">
      <c r="B99" s="105" t="s">
        <v>45</v>
      </c>
      <c r="D99" s="87">
        <v>11157432.61</v>
      </c>
      <c r="E99" s="714">
        <v>7128683.22</v>
      </c>
      <c r="F99" s="714">
        <v>5344892.07</v>
      </c>
      <c r="G99" s="87">
        <v>3634434.79</v>
      </c>
      <c r="H99" s="87">
        <v>1775263.14</v>
      </c>
      <c r="I99" s="87">
        <v>15756036.93</v>
      </c>
      <c r="J99" s="87">
        <v>14458241.2</v>
      </c>
      <c r="K99" s="87">
        <v>13160445.47</v>
      </c>
      <c r="L99" s="87">
        <v>11903520.29</v>
      </c>
    </row>
    <row r="100" spans="2:12" ht="15">
      <c r="B100" s="105" t="s">
        <v>46</v>
      </c>
      <c r="D100" s="87">
        <v>1598208.92</v>
      </c>
      <c r="E100" s="714">
        <v>2401306.81</v>
      </c>
      <c r="F100" s="714">
        <v>2162428.73</v>
      </c>
      <c r="G100" s="87">
        <v>1987336.62</v>
      </c>
      <c r="H100" s="87">
        <v>1799473.17</v>
      </c>
      <c r="I100" s="87">
        <v>2133936.3</v>
      </c>
      <c r="J100" s="87">
        <v>1994429.42</v>
      </c>
      <c r="K100" s="87">
        <v>1854922.54</v>
      </c>
      <c r="L100" s="87">
        <v>1718787.15</v>
      </c>
    </row>
    <row r="101" spans="2:12" ht="15">
      <c r="B101" s="105" t="s">
        <v>47</v>
      </c>
      <c r="D101" s="87">
        <v>726693.6</v>
      </c>
      <c r="E101" s="714">
        <v>192826.31</v>
      </c>
      <c r="F101" s="714">
        <v>126384.49</v>
      </c>
      <c r="G101" s="87">
        <v>97829.05</v>
      </c>
      <c r="H101" s="87">
        <v>50023.21</v>
      </c>
      <c r="I101" s="87">
        <v>822478.3</v>
      </c>
      <c r="J101" s="87">
        <v>781911.54</v>
      </c>
      <c r="K101" s="87">
        <v>741344.78</v>
      </c>
      <c r="L101" s="87">
        <v>734019.19</v>
      </c>
    </row>
    <row r="102" spans="2:12" ht="15">
      <c r="B102" s="105" t="s">
        <v>48</v>
      </c>
      <c r="D102" s="87">
        <v>1654357.75</v>
      </c>
      <c r="E102" s="714">
        <v>546857.17</v>
      </c>
      <c r="F102" s="714">
        <v>334997.35</v>
      </c>
      <c r="G102" s="87">
        <v>225829.47</v>
      </c>
      <c r="H102" s="87">
        <v>179973.09</v>
      </c>
      <c r="I102" s="87">
        <v>1817137.97</v>
      </c>
      <c r="J102" s="87">
        <v>1791311.32</v>
      </c>
      <c r="K102" s="87">
        <v>1765484.67</v>
      </c>
      <c r="L102" s="87">
        <v>1714920.28</v>
      </c>
    </row>
    <row r="103" spans="2:19" ht="15">
      <c r="B103" s="105" t="s">
        <v>49</v>
      </c>
      <c r="D103" s="87">
        <v>5560644.54</v>
      </c>
      <c r="E103" s="714">
        <f>421134.79+281.2</f>
        <v>421415.99</v>
      </c>
      <c r="F103" s="714">
        <f>404028.01+281.2</f>
        <v>404309.21</v>
      </c>
      <c r="G103" s="87">
        <f>369326.24+281.2</f>
        <v>369607.44</v>
      </c>
      <c r="H103" s="87">
        <f>275405.76+281.2+14089.51</f>
        <v>289776.47000000003</v>
      </c>
      <c r="I103" s="87">
        <v>7803763.43</v>
      </c>
      <c r="J103" s="87">
        <v>7472369.03</v>
      </c>
      <c r="K103" s="87">
        <v>7140974.63</v>
      </c>
      <c r="L103" s="87">
        <v>6459930.8</v>
      </c>
      <c r="Q103" s="462">
        <v>421134.79</v>
      </c>
      <c r="S103" s="462">
        <v>421134.79</v>
      </c>
    </row>
    <row r="104" spans="4:17" ht="15">
      <c r="D104" s="197"/>
      <c r="E104" s="717"/>
      <c r="F104" s="717"/>
      <c r="G104" s="188"/>
      <c r="H104" s="188"/>
      <c r="I104" s="87"/>
      <c r="J104" s="87"/>
      <c r="K104" s="87"/>
      <c r="L104" s="87"/>
      <c r="Q104" s="462">
        <v>281.2</v>
      </c>
    </row>
    <row r="105" spans="2:18" ht="15.75" thickBot="1">
      <c r="B105" s="96" t="s">
        <v>50</v>
      </c>
      <c r="D105" s="101">
        <f aca="true" t="shared" si="3" ref="D105:L105">SUM(D99:D104)</f>
        <v>20697337.419999998</v>
      </c>
      <c r="E105" s="716">
        <f>SUM(E99:E104)</f>
        <v>10691089.5</v>
      </c>
      <c r="F105" s="716">
        <f>SUM(F99:F104)</f>
        <v>8373011.850000001</v>
      </c>
      <c r="G105" s="101">
        <f>SUM(G99:G104)</f>
        <v>6315037.37</v>
      </c>
      <c r="H105" s="101">
        <f t="shared" si="3"/>
        <v>4094509.0799999996</v>
      </c>
      <c r="I105" s="101">
        <f t="shared" si="3"/>
        <v>28333352.93</v>
      </c>
      <c r="J105" s="101">
        <f t="shared" si="3"/>
        <v>26498262.51</v>
      </c>
      <c r="K105" s="101">
        <f t="shared" si="3"/>
        <v>24663172.09</v>
      </c>
      <c r="L105" s="101">
        <f t="shared" si="3"/>
        <v>22531177.709999997</v>
      </c>
      <c r="P105" s="462" t="s">
        <v>675</v>
      </c>
      <c r="Q105" s="462">
        <f>SUM(Q103:Q104)</f>
        <v>421415.99</v>
      </c>
      <c r="R105" s="402">
        <f>+F105-G105</f>
        <v>2057974.4800000004</v>
      </c>
    </row>
    <row r="106" spans="5:12" ht="15.75" thickTop="1">
      <c r="E106" s="714"/>
      <c r="F106" s="714"/>
      <c r="K106" s="87"/>
      <c r="L106" s="87"/>
    </row>
    <row r="107" spans="5:12" ht="15">
      <c r="E107" s="714"/>
      <c r="F107" s="714"/>
      <c r="K107" s="87"/>
      <c r="L107" s="87"/>
    </row>
    <row r="108" spans="2:21" s="168" customFormat="1" ht="15">
      <c r="B108" s="105"/>
      <c r="C108" s="105"/>
      <c r="D108" s="99"/>
      <c r="E108" s="714"/>
      <c r="F108" s="714"/>
      <c r="G108" s="99"/>
      <c r="H108" s="99"/>
      <c r="I108" s="99"/>
      <c r="J108" s="99"/>
      <c r="K108" s="87"/>
      <c r="L108" s="87"/>
      <c r="M108" s="105"/>
      <c r="N108" s="105"/>
      <c r="O108" s="105"/>
      <c r="P108" s="462"/>
      <c r="Q108" s="462"/>
      <c r="R108" s="462"/>
      <c r="S108" s="462"/>
      <c r="T108" s="462"/>
      <c r="U108" s="462"/>
    </row>
    <row r="109" spans="2:12" ht="15">
      <c r="B109" s="96" t="s">
        <v>51</v>
      </c>
      <c r="E109" s="714"/>
      <c r="F109" s="714"/>
      <c r="K109" s="87"/>
      <c r="L109" s="87"/>
    </row>
    <row r="110" spans="2:12" ht="15">
      <c r="B110" s="96"/>
      <c r="E110" s="714"/>
      <c r="F110" s="714"/>
      <c r="K110" s="87"/>
      <c r="L110" s="87"/>
    </row>
    <row r="111" spans="2:21" s="169" customFormat="1" ht="15">
      <c r="B111" s="105" t="s">
        <v>45</v>
      </c>
      <c r="C111" s="105"/>
      <c r="D111" s="87">
        <v>864909.2</v>
      </c>
      <c r="E111" s="714">
        <v>827823.54</v>
      </c>
      <c r="F111" s="714">
        <v>732595.8</v>
      </c>
      <c r="G111" s="87">
        <v>680791.08</v>
      </c>
      <c r="H111" s="87">
        <v>641925.17</v>
      </c>
      <c r="I111" s="87">
        <v>1070232.1</v>
      </c>
      <c r="J111" s="87">
        <v>1006868.09</v>
      </c>
      <c r="K111" s="87">
        <v>943504.08</v>
      </c>
      <c r="L111" s="87">
        <v>896277.52</v>
      </c>
      <c r="M111" s="105"/>
      <c r="N111" s="105"/>
      <c r="O111" s="105"/>
      <c r="P111" s="462"/>
      <c r="Q111" s="462"/>
      <c r="R111" s="462"/>
      <c r="S111" s="462"/>
      <c r="T111" s="462"/>
      <c r="U111" s="462"/>
    </row>
    <row r="112" spans="2:21" s="169" customFormat="1" ht="15">
      <c r="B112" s="105" t="s">
        <v>46</v>
      </c>
      <c r="C112" s="105"/>
      <c r="D112" s="87">
        <v>174955.2</v>
      </c>
      <c r="E112" s="714">
        <v>99284.71</v>
      </c>
      <c r="F112" s="714">
        <v>99284.71</v>
      </c>
      <c r="G112" s="87">
        <v>99284.71</v>
      </c>
      <c r="H112" s="87">
        <v>99284.71</v>
      </c>
      <c r="I112" s="87">
        <v>277776.91</v>
      </c>
      <c r="J112" s="87">
        <v>250762.68</v>
      </c>
      <c r="K112" s="87">
        <v>223748.45</v>
      </c>
      <c r="L112" s="87">
        <v>198505.05</v>
      </c>
      <c r="M112" s="105"/>
      <c r="N112" s="105"/>
      <c r="O112" s="105"/>
      <c r="P112" s="462"/>
      <c r="Q112" s="462"/>
      <c r="R112" s="462"/>
      <c r="S112" s="462"/>
      <c r="T112" s="462"/>
      <c r="U112" s="462"/>
    </row>
    <row r="113" spans="2:21" s="169" customFormat="1" ht="15">
      <c r="B113" s="105" t="s">
        <v>47</v>
      </c>
      <c r="C113" s="105"/>
      <c r="D113" s="87">
        <v>1500</v>
      </c>
      <c r="E113" s="714">
        <v>863889.81</v>
      </c>
      <c r="F113" s="714">
        <v>863889.81</v>
      </c>
      <c r="G113" s="87">
        <v>854345.76</v>
      </c>
      <c r="H113" s="87">
        <v>814143.84</v>
      </c>
      <c r="I113" s="87">
        <v>62983.16</v>
      </c>
      <c r="J113" s="87">
        <v>33080.91</v>
      </c>
      <c r="K113" s="87">
        <v>3178.66</v>
      </c>
      <c r="L113" s="87">
        <v>1500</v>
      </c>
      <c r="M113" s="105"/>
      <c r="N113" s="105"/>
      <c r="O113" s="105"/>
      <c r="P113" s="462"/>
      <c r="Q113" s="462"/>
      <c r="R113" s="462"/>
      <c r="S113" s="462"/>
      <c r="T113" s="462"/>
      <c r="U113" s="462"/>
    </row>
    <row r="114" spans="2:21" s="169" customFormat="1" ht="15">
      <c r="B114" s="105" t="s">
        <v>48</v>
      </c>
      <c r="C114" s="105"/>
      <c r="D114" s="87">
        <v>146308.07</v>
      </c>
      <c r="E114" s="714">
        <v>117563.85</v>
      </c>
      <c r="F114" s="714">
        <v>110960.55</v>
      </c>
      <c r="G114" s="87">
        <v>110960.55</v>
      </c>
      <c r="H114" s="87">
        <v>110960.55</v>
      </c>
      <c r="I114" s="87">
        <v>157370.57</v>
      </c>
      <c r="J114" s="87">
        <v>155526.82</v>
      </c>
      <c r="K114" s="87">
        <v>153683.07</v>
      </c>
      <c r="L114" s="87">
        <v>149995.57</v>
      </c>
      <c r="M114" s="105"/>
      <c r="N114" s="105"/>
      <c r="O114" s="105"/>
      <c r="P114" s="462"/>
      <c r="Q114" s="462"/>
      <c r="R114" s="462"/>
      <c r="S114" s="462"/>
      <c r="T114" s="462"/>
      <c r="U114" s="462"/>
    </row>
    <row r="115" spans="2:21" s="169" customFormat="1" ht="15">
      <c r="B115" s="105" t="s">
        <v>257</v>
      </c>
      <c r="C115" s="105"/>
      <c r="D115" s="198">
        <v>255499.37</v>
      </c>
      <c r="E115" s="717">
        <v>2679.5</v>
      </c>
      <c r="F115" s="717">
        <v>2679.5</v>
      </c>
      <c r="G115" s="189">
        <v>2679.5</v>
      </c>
      <c r="H115" s="189">
        <v>2679.5</v>
      </c>
      <c r="I115" s="87">
        <v>408622.93</v>
      </c>
      <c r="J115" s="87">
        <v>405943.43</v>
      </c>
      <c r="K115" s="87">
        <v>403263.93</v>
      </c>
      <c r="L115" s="87">
        <v>347414.11</v>
      </c>
      <c r="M115" s="105"/>
      <c r="N115" s="105"/>
      <c r="O115" s="105"/>
      <c r="P115" s="462"/>
      <c r="Q115" s="462"/>
      <c r="R115" s="462"/>
      <c r="S115" s="462"/>
      <c r="T115" s="462"/>
      <c r="U115" s="462"/>
    </row>
    <row r="116" spans="2:21" s="169" customFormat="1" ht="15.75" thickBot="1">
      <c r="B116" s="96" t="s">
        <v>52</v>
      </c>
      <c r="C116" s="105"/>
      <c r="D116" s="101">
        <f aca="true" t="shared" si="4" ref="D116:L116">SUM(D111:D115)</f>
        <v>1443171.8399999999</v>
      </c>
      <c r="E116" s="716">
        <f>SUM(E111:E115)</f>
        <v>1911241.4100000001</v>
      </c>
      <c r="F116" s="716">
        <f>SUM(F111:F115)</f>
        <v>1809410.37</v>
      </c>
      <c r="G116" s="101">
        <f>SUM(G111:G115)</f>
        <v>1748061.5999999999</v>
      </c>
      <c r="H116" s="101">
        <f t="shared" si="4"/>
        <v>1668993.77</v>
      </c>
      <c r="I116" s="101">
        <f t="shared" si="4"/>
        <v>1976985.67</v>
      </c>
      <c r="J116" s="101">
        <f t="shared" si="4"/>
        <v>1852181.93</v>
      </c>
      <c r="K116" s="101">
        <f t="shared" si="4"/>
        <v>1727378.19</v>
      </c>
      <c r="L116" s="101">
        <f t="shared" si="4"/>
        <v>1593692.25</v>
      </c>
      <c r="M116" s="105"/>
      <c r="N116" s="105"/>
      <c r="O116" s="105"/>
      <c r="P116" s="462" t="s">
        <v>675</v>
      </c>
      <c r="Q116" s="462"/>
      <c r="R116" s="552">
        <f>+F116-G116</f>
        <v>61348.77000000025</v>
      </c>
      <c r="S116" s="462"/>
      <c r="T116" s="462"/>
      <c r="U116" s="462"/>
    </row>
    <row r="117" spans="2:21" s="169" customFormat="1" ht="15.75" thickTop="1">
      <c r="B117" s="105"/>
      <c r="C117" s="105"/>
      <c r="D117" s="99"/>
      <c r="E117" s="714"/>
      <c r="F117" s="714"/>
      <c r="G117" s="99"/>
      <c r="H117" s="99"/>
      <c r="I117" s="99"/>
      <c r="J117" s="99"/>
      <c r="K117" s="87"/>
      <c r="L117" s="87"/>
      <c r="M117" s="105"/>
      <c r="N117" s="105"/>
      <c r="O117" s="105"/>
      <c r="P117" s="462"/>
      <c r="Q117" s="462"/>
      <c r="R117" s="462"/>
      <c r="S117" s="462"/>
      <c r="T117" s="462"/>
      <c r="U117" s="462"/>
    </row>
    <row r="118" spans="5:12" ht="15">
      <c r="E118" s="714"/>
      <c r="F118" s="714"/>
      <c r="K118" s="87"/>
      <c r="L118" s="87"/>
    </row>
    <row r="119" spans="2:12" ht="15">
      <c r="B119" s="96" t="s">
        <v>605</v>
      </c>
      <c r="E119" s="714"/>
      <c r="F119" s="714"/>
      <c r="K119" s="87"/>
      <c r="L119" s="87"/>
    </row>
    <row r="120" spans="5:12" ht="15">
      <c r="E120" s="714"/>
      <c r="F120" s="714"/>
      <c r="K120" s="87"/>
      <c r="L120" s="87"/>
    </row>
    <row r="121" spans="2:12" ht="15">
      <c r="B121" s="105" t="s">
        <v>45</v>
      </c>
      <c r="D121" s="87">
        <v>761494.16</v>
      </c>
      <c r="E121" s="714">
        <v>966245.51</v>
      </c>
      <c r="F121" s="714">
        <v>842713.79</v>
      </c>
      <c r="G121" s="87">
        <v>749688.35</v>
      </c>
      <c r="H121" s="87">
        <v>616775.27</v>
      </c>
      <c r="I121" s="87">
        <v>1004513.33</v>
      </c>
      <c r="J121" s="87">
        <v>934736.7</v>
      </c>
      <c r="K121" s="87">
        <v>864960.07</v>
      </c>
      <c r="L121" s="87">
        <v>795476.71</v>
      </c>
    </row>
    <row r="122" spans="2:12" ht="15">
      <c r="B122" s="105" t="s">
        <v>46</v>
      </c>
      <c r="D122" s="87">
        <v>233972.57</v>
      </c>
      <c r="E122" s="714">
        <v>33972.42</v>
      </c>
      <c r="F122" s="714">
        <v>33972.42</v>
      </c>
      <c r="G122" s="87">
        <v>33972.42</v>
      </c>
      <c r="H122" s="87">
        <v>33972.42</v>
      </c>
      <c r="I122" s="87">
        <v>269329.59</v>
      </c>
      <c r="J122" s="87">
        <v>255875.45</v>
      </c>
      <c r="K122" s="87">
        <v>242421.31</v>
      </c>
      <c r="L122" s="87">
        <v>234371.32</v>
      </c>
    </row>
    <row r="123" spans="2:12" ht="15">
      <c r="B123" s="105" t="s">
        <v>47</v>
      </c>
      <c r="D123" s="87"/>
      <c r="E123" s="714">
        <v>66686.4</v>
      </c>
      <c r="F123" s="714">
        <v>66686.4</v>
      </c>
      <c r="G123" s="87">
        <v>66686.4</v>
      </c>
      <c r="H123" s="87">
        <v>28522.38</v>
      </c>
      <c r="I123" s="87">
        <v>28509.26</v>
      </c>
      <c r="J123" s="87">
        <v>14254.63</v>
      </c>
      <c r="K123" s="87"/>
      <c r="L123" s="87"/>
    </row>
    <row r="124" spans="2:12" ht="15">
      <c r="B124" s="105" t="s">
        <v>48</v>
      </c>
      <c r="D124" s="87">
        <v>82431.3</v>
      </c>
      <c r="E124" s="714">
        <v>96664.05</v>
      </c>
      <c r="F124" s="714">
        <v>83529.93</v>
      </c>
      <c r="G124" s="87">
        <v>83529.93</v>
      </c>
      <c r="H124" s="87">
        <v>83529.93</v>
      </c>
      <c r="I124" s="87">
        <v>93493.8</v>
      </c>
      <c r="J124" s="87">
        <v>91650.05</v>
      </c>
      <c r="K124" s="87">
        <v>89806.3</v>
      </c>
      <c r="L124" s="87">
        <v>86118.8</v>
      </c>
    </row>
    <row r="125" spans="2:12" ht="15">
      <c r="B125" s="105" t="s">
        <v>53</v>
      </c>
      <c r="D125" s="100">
        <v>131652.35</v>
      </c>
      <c r="E125" s="713">
        <v>18224.17</v>
      </c>
      <c r="F125" s="713">
        <v>13815.98</v>
      </c>
      <c r="G125" s="100">
        <v>8247.74</v>
      </c>
      <c r="H125" s="100">
        <v>2679.5</v>
      </c>
      <c r="I125" s="100">
        <v>223818.09</v>
      </c>
      <c r="J125" s="100">
        <v>221138.59</v>
      </c>
      <c r="K125" s="100">
        <v>218459.09</v>
      </c>
      <c r="L125" s="100">
        <v>185974.51</v>
      </c>
    </row>
    <row r="126" spans="5:12" ht="15">
      <c r="E126" s="714"/>
      <c r="F126" s="714"/>
      <c r="L126" s="99"/>
    </row>
    <row r="127" spans="2:18" ht="15.75" thickBot="1">
      <c r="B127" s="96" t="s">
        <v>54</v>
      </c>
      <c r="D127" s="14">
        <f>SUM(D121:D126)</f>
        <v>1209550.3800000001</v>
      </c>
      <c r="E127" s="715">
        <f>SUM(E121:E126)</f>
        <v>1181792.55</v>
      </c>
      <c r="F127" s="715">
        <f>SUM(F121:F126)</f>
        <v>1040718.52</v>
      </c>
      <c r="G127" s="14">
        <f>SUM(G121:G126)</f>
        <v>942124.8400000001</v>
      </c>
      <c r="H127" s="14">
        <f>SUM(H121:H125)</f>
        <v>765479.5</v>
      </c>
      <c r="I127" s="14">
        <f>SUM(I121:I126)</f>
        <v>1619664.07</v>
      </c>
      <c r="J127" s="14">
        <f>SUM(J121:J126)</f>
        <v>1517655.42</v>
      </c>
      <c r="K127" s="14">
        <f>SUM(K121:K125)</f>
        <v>1415646.77</v>
      </c>
      <c r="L127" s="14">
        <f>SUM(L121:L125)</f>
        <v>1301941.34</v>
      </c>
      <c r="P127" s="462" t="s">
        <v>675</v>
      </c>
      <c r="R127" s="551">
        <f>+F127-G127</f>
        <v>98593.67999999993</v>
      </c>
    </row>
    <row r="128" spans="5:12" ht="15.75" thickTop="1">
      <c r="E128" s="714"/>
      <c r="F128" s="714"/>
      <c r="K128" s="87"/>
      <c r="L128" s="87"/>
    </row>
    <row r="129" spans="5:12" ht="15">
      <c r="E129" s="714"/>
      <c r="F129" s="714"/>
      <c r="K129" s="87"/>
      <c r="L129" s="87"/>
    </row>
    <row r="130" spans="2:21" s="169" customFormat="1" ht="15">
      <c r="B130" s="96" t="s">
        <v>274</v>
      </c>
      <c r="C130" s="105"/>
      <c r="D130" s="99"/>
      <c r="E130" s="714"/>
      <c r="F130" s="714"/>
      <c r="G130" s="99"/>
      <c r="H130" s="99"/>
      <c r="I130" s="99"/>
      <c r="J130" s="99"/>
      <c r="K130" s="87"/>
      <c r="L130" s="87"/>
      <c r="M130" s="105"/>
      <c r="N130" s="105"/>
      <c r="O130" s="105"/>
      <c r="P130" s="462"/>
      <c r="Q130" s="462"/>
      <c r="R130" s="462"/>
      <c r="S130" s="462"/>
      <c r="T130" s="462"/>
      <c r="U130" s="462"/>
    </row>
    <row r="131" spans="2:21" s="169" customFormat="1" ht="15">
      <c r="B131" s="105"/>
      <c r="C131" s="105"/>
      <c r="D131" s="99"/>
      <c r="E131" s="714"/>
      <c r="F131" s="714"/>
      <c r="G131" s="99"/>
      <c r="H131" s="99"/>
      <c r="I131" s="99"/>
      <c r="J131" s="99"/>
      <c r="K131" s="87"/>
      <c r="L131" s="87"/>
      <c r="M131" s="105"/>
      <c r="N131" s="105"/>
      <c r="O131" s="105"/>
      <c r="P131" s="462"/>
      <c r="Q131" s="462"/>
      <c r="R131" s="462"/>
      <c r="S131" s="462"/>
      <c r="T131" s="462"/>
      <c r="U131" s="462"/>
    </row>
    <row r="132" spans="2:21" s="169" customFormat="1" ht="15">
      <c r="B132" s="105" t="s">
        <v>45</v>
      </c>
      <c r="C132" s="105"/>
      <c r="D132" s="87">
        <v>88622.62</v>
      </c>
      <c r="E132" s="714">
        <v>135856.04</v>
      </c>
      <c r="F132" s="714">
        <v>92592.26</v>
      </c>
      <c r="G132" s="87">
        <v>92592.26</v>
      </c>
      <c r="H132" s="87">
        <v>92592.26</v>
      </c>
      <c r="I132" s="87">
        <v>166881.08</v>
      </c>
      <c r="J132" s="87">
        <v>148060.08</v>
      </c>
      <c r="K132" s="87">
        <v>129239.08</v>
      </c>
      <c r="L132" s="87">
        <v>110418.08</v>
      </c>
      <c r="M132" s="105"/>
      <c r="N132" s="105"/>
      <c r="O132" s="105"/>
      <c r="P132" s="462"/>
      <c r="Q132" s="462"/>
      <c r="R132" s="462"/>
      <c r="S132" s="462"/>
      <c r="T132" s="462"/>
      <c r="U132" s="462"/>
    </row>
    <row r="133" spans="2:21" s="169" customFormat="1" ht="15">
      <c r="B133" s="105" t="s">
        <v>46</v>
      </c>
      <c r="C133" s="105"/>
      <c r="D133" s="87">
        <v>95654.16</v>
      </c>
      <c r="E133" s="714">
        <v>44583.18</v>
      </c>
      <c r="F133" s="714">
        <v>32827.44</v>
      </c>
      <c r="G133" s="87">
        <v>32827.44</v>
      </c>
      <c r="H133" s="87">
        <v>32827.44</v>
      </c>
      <c r="I133" s="87">
        <v>116314.66</v>
      </c>
      <c r="J133" s="87">
        <v>110739.66</v>
      </c>
      <c r="K133" s="87">
        <v>105164.66</v>
      </c>
      <c r="L133" s="87">
        <v>99589.66</v>
      </c>
      <c r="M133" s="105"/>
      <c r="N133" s="105"/>
      <c r="O133" s="105"/>
      <c r="P133" s="462"/>
      <c r="Q133" s="462"/>
      <c r="R133" s="462"/>
      <c r="S133" s="462"/>
      <c r="T133" s="462"/>
      <c r="U133" s="462"/>
    </row>
    <row r="134" spans="2:21" s="169" customFormat="1" ht="15">
      <c r="B134" s="105" t="s">
        <v>47</v>
      </c>
      <c r="C134" s="105"/>
      <c r="D134" s="87"/>
      <c r="E134" s="714">
        <v>1219.8</v>
      </c>
      <c r="F134" s="714">
        <v>1219.8</v>
      </c>
      <c r="G134" s="87">
        <v>1219.8</v>
      </c>
      <c r="H134" s="87">
        <v>1219.8</v>
      </c>
      <c r="I134" s="87">
        <v>8538.54</v>
      </c>
      <c r="J134" s="87">
        <v>4269.27</v>
      </c>
      <c r="K134" s="87"/>
      <c r="L134" s="87"/>
      <c r="M134" s="105"/>
      <c r="N134" s="105"/>
      <c r="O134" s="105"/>
      <c r="P134" s="462"/>
      <c r="Q134" s="462"/>
      <c r="R134" s="462"/>
      <c r="S134" s="462"/>
      <c r="T134" s="462"/>
      <c r="U134" s="462"/>
    </row>
    <row r="135" spans="2:21" s="169" customFormat="1" ht="15">
      <c r="B135" s="105" t="s">
        <v>48</v>
      </c>
      <c r="C135" s="105"/>
      <c r="D135" s="87">
        <v>28074.96</v>
      </c>
      <c r="E135" s="714">
        <v>48393.34</v>
      </c>
      <c r="F135" s="714">
        <v>41862.52</v>
      </c>
      <c r="G135" s="87">
        <v>41862.52</v>
      </c>
      <c r="H135" s="87">
        <v>41862.52</v>
      </c>
      <c r="I135" s="87">
        <v>30390.42</v>
      </c>
      <c r="J135" s="87">
        <v>30390.42</v>
      </c>
      <c r="K135" s="87">
        <v>30390.42</v>
      </c>
      <c r="L135" s="87">
        <v>30390.42</v>
      </c>
      <c r="M135" s="105"/>
      <c r="N135" s="105"/>
      <c r="O135" s="105"/>
      <c r="P135" s="462"/>
      <c r="Q135" s="462"/>
      <c r="R135" s="462"/>
      <c r="S135" s="462"/>
      <c r="T135" s="462"/>
      <c r="U135" s="462"/>
    </row>
    <row r="136" spans="2:21" s="169" customFormat="1" ht="15">
      <c r="B136" s="105" t="s">
        <v>53</v>
      </c>
      <c r="C136" s="105"/>
      <c r="D136" s="100"/>
      <c r="E136" s="713"/>
      <c r="F136" s="713"/>
      <c r="G136" s="100"/>
      <c r="H136" s="100"/>
      <c r="I136" s="100"/>
      <c r="J136" s="100"/>
      <c r="K136" s="100"/>
      <c r="L136" s="100"/>
      <c r="M136" s="105"/>
      <c r="N136" s="105"/>
      <c r="O136" s="105"/>
      <c r="P136" s="462"/>
      <c r="Q136" s="462"/>
      <c r="R136" s="462"/>
      <c r="S136" s="462"/>
      <c r="T136" s="462"/>
      <c r="U136" s="462"/>
    </row>
    <row r="137" spans="2:21" s="169" customFormat="1" ht="15">
      <c r="B137" s="105"/>
      <c r="C137" s="105"/>
      <c r="D137" s="99"/>
      <c r="E137" s="714"/>
      <c r="F137" s="714"/>
      <c r="G137" s="99"/>
      <c r="H137" s="99"/>
      <c r="I137" s="87"/>
      <c r="J137" s="87"/>
      <c r="K137" s="87"/>
      <c r="L137" s="87"/>
      <c r="M137" s="105"/>
      <c r="N137" s="105"/>
      <c r="O137" s="105"/>
      <c r="P137" s="462"/>
      <c r="Q137" s="462"/>
      <c r="R137" s="462"/>
      <c r="S137" s="462"/>
      <c r="T137" s="462"/>
      <c r="U137" s="462"/>
    </row>
    <row r="138" spans="2:21" s="169" customFormat="1" ht="15.75" thickBot="1">
      <c r="B138" s="96" t="s">
        <v>55</v>
      </c>
      <c r="C138" s="105"/>
      <c r="D138" s="14">
        <f aca="true" t="shared" si="5" ref="D138:J138">SUM(D132:D137)</f>
        <v>212351.74</v>
      </c>
      <c r="E138" s="715">
        <f>SUM(E132:E137)</f>
        <v>230052.36</v>
      </c>
      <c r="F138" s="715">
        <f t="shared" si="5"/>
        <v>168502.02</v>
      </c>
      <c r="G138" s="14">
        <f t="shared" si="5"/>
        <v>168502.02</v>
      </c>
      <c r="H138" s="14">
        <f t="shared" si="5"/>
        <v>168502.02</v>
      </c>
      <c r="I138" s="14">
        <f t="shared" si="5"/>
        <v>322124.69999999995</v>
      </c>
      <c r="J138" s="14">
        <f t="shared" si="5"/>
        <v>293459.43</v>
      </c>
      <c r="K138" s="14">
        <f>SUM(K132:K136)</f>
        <v>264794.16</v>
      </c>
      <c r="L138" s="14">
        <f>SUM(L132:L137)</f>
        <v>240398.15999999997</v>
      </c>
      <c r="M138" s="105"/>
      <c r="N138" s="105"/>
      <c r="O138" s="105"/>
      <c r="P138" s="405" t="s">
        <v>675</v>
      </c>
      <c r="Q138" s="405"/>
      <c r="R138" s="405">
        <f>+F138-G138</f>
        <v>0</v>
      </c>
      <c r="S138" s="462"/>
      <c r="T138" s="462"/>
      <c r="U138" s="462"/>
    </row>
    <row r="139" spans="5:12" ht="15.75" thickTop="1">
      <c r="E139" s="714"/>
      <c r="F139" s="714"/>
      <c r="K139" s="87"/>
      <c r="L139" s="87"/>
    </row>
    <row r="140" spans="5:12" ht="15">
      <c r="E140" s="714"/>
      <c r="F140" s="714"/>
      <c r="K140" s="87"/>
      <c r="L140" s="87"/>
    </row>
    <row r="141" spans="2:12" ht="15">
      <c r="B141" s="96" t="s">
        <v>611</v>
      </c>
      <c r="E141" s="714"/>
      <c r="F141" s="714"/>
      <c r="K141" s="87"/>
      <c r="L141" s="87"/>
    </row>
    <row r="142" spans="5:12" ht="15">
      <c r="E142" s="714"/>
      <c r="F142" s="714"/>
      <c r="K142" s="87"/>
      <c r="L142" s="87"/>
    </row>
    <row r="143" spans="2:12" ht="15">
      <c r="B143" s="105" t="s">
        <v>53</v>
      </c>
      <c r="D143" s="100"/>
      <c r="E143" s="713">
        <v>67409.25</v>
      </c>
      <c r="F143" s="713">
        <v>67409.25</v>
      </c>
      <c r="G143" s="100">
        <v>52805.36</v>
      </c>
      <c r="H143" s="100">
        <f>15525.97-14089.51</f>
        <v>1436.4599999999991</v>
      </c>
      <c r="I143" s="100">
        <v>437.5</v>
      </c>
      <c r="J143" s="100"/>
      <c r="K143" s="87"/>
      <c r="L143" s="87"/>
    </row>
    <row r="144" spans="2:18" ht="15">
      <c r="B144" s="96" t="s">
        <v>612</v>
      </c>
      <c r="E144" s="718">
        <f>SUM(E143)</f>
        <v>67409.25</v>
      </c>
      <c r="F144" s="718">
        <f>SUM(F143)</f>
        <v>67409.25</v>
      </c>
      <c r="G144" s="102">
        <f>SUM(G143)</f>
        <v>52805.36</v>
      </c>
      <c r="H144" s="102">
        <f>SUM(H143)</f>
        <v>1436.4599999999991</v>
      </c>
      <c r="I144" s="102">
        <f>+I143</f>
        <v>437.5</v>
      </c>
      <c r="J144" s="102">
        <f>+J143</f>
        <v>0</v>
      </c>
      <c r="K144" s="87"/>
      <c r="L144" s="87"/>
      <c r="P144" s="462" t="s">
        <v>675</v>
      </c>
      <c r="R144" s="402">
        <f>+F144-G144</f>
        <v>14603.89</v>
      </c>
    </row>
    <row r="145" spans="5:12" ht="15">
      <c r="E145" s="714"/>
      <c r="F145" s="714"/>
      <c r="K145" s="87"/>
      <c r="L145" s="87"/>
    </row>
    <row r="146" spans="2:12" ht="15">
      <c r="B146" s="96" t="s">
        <v>654</v>
      </c>
      <c r="E146" s="714"/>
      <c r="F146" s="714"/>
      <c r="K146" s="87"/>
      <c r="L146" s="87"/>
    </row>
    <row r="147" spans="2:12" ht="15">
      <c r="B147" s="105" t="s">
        <v>53</v>
      </c>
      <c r="D147" s="100"/>
      <c r="E147" s="713">
        <v>74284.84</v>
      </c>
      <c r="F147" s="713">
        <v>74284.84</v>
      </c>
      <c r="G147" s="100">
        <v>71250.57</v>
      </c>
      <c r="H147" s="100">
        <v>46466.25</v>
      </c>
      <c r="I147" s="100">
        <v>0</v>
      </c>
      <c r="J147" s="100"/>
      <c r="K147" s="87"/>
      <c r="L147" s="87"/>
    </row>
    <row r="148" spans="2:18" ht="15.75" thickBot="1">
      <c r="B148" s="96" t="s">
        <v>653</v>
      </c>
      <c r="E148" s="716">
        <f>SUM(E147)</f>
        <v>74284.84</v>
      </c>
      <c r="F148" s="716">
        <f>SUM(F147)</f>
        <v>74284.84</v>
      </c>
      <c r="G148" s="101">
        <f>SUM(G147)</f>
        <v>71250.57</v>
      </c>
      <c r="H148" s="101">
        <f>SUM(H147)</f>
        <v>46466.25</v>
      </c>
      <c r="I148" s="101">
        <f>+I147</f>
        <v>0</v>
      </c>
      <c r="J148" s="102">
        <f>+J147</f>
        <v>0</v>
      </c>
      <c r="K148" s="87"/>
      <c r="L148" s="87"/>
      <c r="P148" s="462" t="s">
        <v>675</v>
      </c>
      <c r="R148" s="553">
        <f>+F148-G148</f>
        <v>3034.2699999999895</v>
      </c>
    </row>
    <row r="149" spans="5:18" ht="15.75" thickTop="1">
      <c r="E149" s="714"/>
      <c r="F149" s="714"/>
      <c r="K149" s="87"/>
      <c r="L149" s="87"/>
      <c r="R149" s="553">
        <f>SUM(R98:R148)</f>
        <v>2235555.090000001</v>
      </c>
    </row>
    <row r="150" spans="5:12" ht="15">
      <c r="E150" s="714"/>
      <c r="F150" s="714"/>
      <c r="K150" s="87"/>
      <c r="L150" s="87"/>
    </row>
    <row r="151" spans="2:21" s="168" customFormat="1" ht="15">
      <c r="B151" s="105"/>
      <c r="C151" s="105"/>
      <c r="D151" s="99"/>
      <c r="E151" s="714"/>
      <c r="F151" s="714"/>
      <c r="G151" s="99"/>
      <c r="H151" s="99"/>
      <c r="I151" s="99"/>
      <c r="J151" s="99"/>
      <c r="K151" s="87"/>
      <c r="L151" s="87"/>
      <c r="M151" s="105"/>
      <c r="N151" s="105"/>
      <c r="O151" s="105"/>
      <c r="P151" s="462"/>
      <c r="Q151" s="462"/>
      <c r="R151" s="462"/>
      <c r="S151" s="462"/>
      <c r="T151" s="462"/>
      <c r="U151" s="462"/>
    </row>
    <row r="152" spans="2:12" ht="15">
      <c r="B152" s="96" t="s">
        <v>56</v>
      </c>
      <c r="E152" s="714"/>
      <c r="F152" s="714"/>
      <c r="K152" s="87"/>
      <c r="L152" s="87"/>
    </row>
    <row r="153" spans="2:12" ht="15">
      <c r="B153" s="96"/>
      <c r="E153" s="714"/>
      <c r="F153" s="714"/>
      <c r="K153" s="87"/>
      <c r="L153" s="87"/>
    </row>
    <row r="154" spans="2:12" ht="15">
      <c r="B154" s="105" t="s">
        <v>57</v>
      </c>
      <c r="D154" s="103">
        <f>53855.61+14902.52+1909.28</f>
        <v>70667.41</v>
      </c>
      <c r="E154" s="714">
        <v>109606.81</v>
      </c>
      <c r="F154" s="714">
        <v>70667.41</v>
      </c>
      <c r="G154" s="87">
        <v>70667.41</v>
      </c>
      <c r="H154" s="87">
        <v>70667.41</v>
      </c>
      <c r="I154" s="87">
        <v>70667.41</v>
      </c>
      <c r="J154" s="87">
        <v>70667.41</v>
      </c>
      <c r="K154" s="87">
        <v>70667.41</v>
      </c>
      <c r="L154" s="87">
        <v>70667.41</v>
      </c>
    </row>
    <row r="155" spans="2:21" s="456" customFormat="1" ht="15">
      <c r="B155" s="455" t="s">
        <v>1006</v>
      </c>
      <c r="C155" s="105"/>
      <c r="D155" s="103"/>
      <c r="E155" s="714">
        <v>26195.4</v>
      </c>
      <c r="F155" s="714"/>
      <c r="G155" s="87"/>
      <c r="H155" s="87"/>
      <c r="I155" s="87"/>
      <c r="J155" s="87"/>
      <c r="K155" s="87"/>
      <c r="L155" s="87"/>
      <c r="M155" s="105"/>
      <c r="N155" s="105"/>
      <c r="O155" s="105"/>
      <c r="P155" s="462"/>
      <c r="Q155" s="462"/>
      <c r="R155" s="462"/>
      <c r="S155" s="462"/>
      <c r="T155" s="462"/>
      <c r="U155" s="462"/>
    </row>
    <row r="156" spans="2:21" s="456" customFormat="1" ht="15">
      <c r="B156" s="455" t="s">
        <v>998</v>
      </c>
      <c r="C156" s="105"/>
      <c r="D156" s="103"/>
      <c r="E156" s="714">
        <f>7648.56+16398.72</f>
        <v>24047.280000000002</v>
      </c>
      <c r="F156" s="714"/>
      <c r="G156" s="87"/>
      <c r="H156" s="87"/>
      <c r="I156" s="87"/>
      <c r="J156" s="87"/>
      <c r="K156" s="87"/>
      <c r="L156" s="87"/>
      <c r="M156" s="105"/>
      <c r="N156" s="105"/>
      <c r="O156" s="105"/>
      <c r="P156" s="462"/>
      <c r="Q156" s="462">
        <v>7648.56</v>
      </c>
      <c r="R156" s="462"/>
      <c r="S156" s="462"/>
      <c r="T156" s="462"/>
      <c r="U156" s="462"/>
    </row>
    <row r="157" spans="2:17" ht="15">
      <c r="B157" s="105" t="s">
        <v>58</v>
      </c>
      <c r="D157" s="196">
        <f>7150.79+1334.8</f>
        <v>8485.59</v>
      </c>
      <c r="E157" s="717">
        <f>8485.59</f>
        <v>8485.59</v>
      </c>
      <c r="F157" s="717">
        <f>8485.59</f>
        <v>8485.59</v>
      </c>
      <c r="G157" s="537">
        <f>8485.59+53080.34</f>
        <v>61565.92999999999</v>
      </c>
      <c r="H157" s="100">
        <f>8485.59+53080.34</f>
        <v>61565.92999999999</v>
      </c>
      <c r="I157" s="100">
        <f>8485.59+42464.26</f>
        <v>50949.850000000006</v>
      </c>
      <c r="J157" s="100">
        <f>8485.59+21232.13</f>
        <v>29717.72</v>
      </c>
      <c r="K157" s="100">
        <v>8485.59</v>
      </c>
      <c r="L157" s="100">
        <v>8485.59</v>
      </c>
      <c r="Q157" s="462">
        <v>16398.72</v>
      </c>
    </row>
    <row r="158" spans="2:21" s="456" customFormat="1" ht="15">
      <c r="B158" s="455" t="s">
        <v>1007</v>
      </c>
      <c r="C158" s="105"/>
      <c r="D158" s="103"/>
      <c r="E158" s="713">
        <v>127392.8</v>
      </c>
      <c r="F158" s="713">
        <v>127392.8</v>
      </c>
      <c r="G158" s="100"/>
      <c r="H158" s="87"/>
      <c r="I158" s="87"/>
      <c r="J158" s="87"/>
      <c r="K158" s="87"/>
      <c r="L158" s="87"/>
      <c r="M158" s="105"/>
      <c r="N158" s="105"/>
      <c r="O158" s="105"/>
      <c r="P158" s="462"/>
      <c r="Q158" s="462"/>
      <c r="R158" s="462"/>
      <c r="S158" s="462"/>
      <c r="T158" s="462"/>
      <c r="U158" s="462"/>
    </row>
    <row r="159" spans="2:12" ht="15.75" thickBot="1">
      <c r="B159" s="96" t="s">
        <v>59</v>
      </c>
      <c r="D159" s="104">
        <f aca="true" t="shared" si="6" ref="D159:L159">SUM(D154:D158)</f>
        <v>79153</v>
      </c>
      <c r="E159" s="715">
        <f t="shared" si="6"/>
        <v>295727.88</v>
      </c>
      <c r="F159" s="715">
        <f t="shared" si="6"/>
        <v>206545.8</v>
      </c>
      <c r="G159" s="104">
        <f t="shared" si="6"/>
        <v>132233.34</v>
      </c>
      <c r="H159" s="104">
        <f t="shared" si="6"/>
        <v>132233.34</v>
      </c>
      <c r="I159" s="104">
        <f t="shared" si="6"/>
        <v>121617.26000000001</v>
      </c>
      <c r="J159" s="104">
        <f t="shared" si="6"/>
        <v>100385.13</v>
      </c>
      <c r="K159" s="104">
        <f t="shared" si="6"/>
        <v>79153</v>
      </c>
      <c r="L159" s="104">
        <f t="shared" si="6"/>
        <v>79153</v>
      </c>
    </row>
    <row r="160" spans="4:12" ht="15.75" thickTop="1">
      <c r="D160" s="103"/>
      <c r="E160" s="714"/>
      <c r="F160" s="714"/>
      <c r="G160" s="103"/>
      <c r="H160" s="103"/>
      <c r="I160" s="103"/>
      <c r="J160" s="103"/>
      <c r="K160" s="87"/>
      <c r="L160" s="87"/>
    </row>
    <row r="161" spans="5:12" ht="15">
      <c r="E161" s="714"/>
      <c r="F161" s="714"/>
      <c r="K161" s="87"/>
      <c r="L161" s="87"/>
    </row>
    <row r="162" spans="2:12" ht="15">
      <c r="B162" s="96" t="s">
        <v>60</v>
      </c>
      <c r="E162" s="714"/>
      <c r="F162" s="714"/>
      <c r="K162" s="87"/>
      <c r="L162" s="87"/>
    </row>
    <row r="163" spans="2:12" ht="15">
      <c r="B163" s="96"/>
      <c r="E163" s="714"/>
      <c r="F163" s="714"/>
      <c r="K163" s="87"/>
      <c r="L163" s="87"/>
    </row>
    <row r="164" spans="2:21" s="456" customFormat="1" ht="15">
      <c r="B164" s="96"/>
      <c r="C164" s="105"/>
      <c r="D164" s="99"/>
      <c r="E164" s="714"/>
      <c r="F164" s="714"/>
      <c r="G164" s="99"/>
      <c r="H164" s="99"/>
      <c r="I164" s="99"/>
      <c r="J164" s="99"/>
      <c r="K164" s="87"/>
      <c r="L164" s="87"/>
      <c r="M164" s="105"/>
      <c r="N164" s="105"/>
      <c r="O164" s="105"/>
      <c r="P164" s="462"/>
      <c r="Q164" s="462"/>
      <c r="R164" s="462"/>
      <c r="S164" s="462"/>
      <c r="T164" s="462"/>
      <c r="U164" s="462"/>
    </row>
    <row r="165" spans="2:21" s="456" customFormat="1" ht="15">
      <c r="B165" s="455" t="s">
        <v>61</v>
      </c>
      <c r="C165" s="105"/>
      <c r="D165" s="103">
        <v>1451.05</v>
      </c>
      <c r="E165" s="714">
        <v>1451.05</v>
      </c>
      <c r="F165" s="714">
        <v>1451.05</v>
      </c>
      <c r="G165" s="87">
        <v>1451.05</v>
      </c>
      <c r="H165" s="99"/>
      <c r="I165" s="99"/>
      <c r="J165" s="99"/>
      <c r="K165" s="87"/>
      <c r="L165" s="87"/>
      <c r="M165" s="105"/>
      <c r="N165" s="105"/>
      <c r="O165" s="105"/>
      <c r="P165" s="462"/>
      <c r="Q165" s="462"/>
      <c r="R165" s="462"/>
      <c r="S165" s="462"/>
      <c r="T165" s="462"/>
      <c r="U165" s="462"/>
    </row>
    <row r="166" spans="2:21" s="456" customFormat="1" ht="15">
      <c r="B166" s="455" t="s">
        <v>1011</v>
      </c>
      <c r="C166" s="105"/>
      <c r="D166" s="103">
        <f>608473.69+160915.96+15400.77+9999.32</f>
        <v>794789.7399999999</v>
      </c>
      <c r="E166" s="714">
        <v>116792.38</v>
      </c>
      <c r="F166" s="714">
        <v>116792.38</v>
      </c>
      <c r="G166" s="87">
        <f>334847.26+116792.38+41661.19+19996.66</f>
        <v>513297.49</v>
      </c>
      <c r="H166" s="99"/>
      <c r="I166" s="99"/>
      <c r="J166" s="99"/>
      <c r="K166" s="87"/>
      <c r="L166" s="87"/>
      <c r="M166" s="105"/>
      <c r="N166" s="105"/>
      <c r="O166" s="105"/>
      <c r="P166" s="462"/>
      <c r="Q166" s="462"/>
      <c r="R166" s="462"/>
      <c r="S166" s="462"/>
      <c r="T166" s="462"/>
      <c r="U166" s="462"/>
    </row>
    <row r="167" spans="2:21" s="456" customFormat="1" ht="15">
      <c r="B167" s="455" t="s">
        <v>1012</v>
      </c>
      <c r="C167" s="105"/>
      <c r="D167" s="99"/>
      <c r="E167" s="714">
        <v>44299.79</v>
      </c>
      <c r="F167" s="714">
        <v>44299.79</v>
      </c>
      <c r="G167" s="99"/>
      <c r="H167" s="99"/>
      <c r="I167" s="99"/>
      <c r="J167" s="99"/>
      <c r="K167" s="87"/>
      <c r="L167" s="87"/>
      <c r="M167" s="105"/>
      <c r="N167" s="105"/>
      <c r="O167" s="105"/>
      <c r="P167" s="462"/>
      <c r="Q167" s="462"/>
      <c r="R167" s="462"/>
      <c r="S167" s="462"/>
      <c r="T167" s="462"/>
      <c r="U167" s="462"/>
    </row>
    <row r="168" spans="2:21" s="456" customFormat="1" ht="15">
      <c r="B168" s="455" t="s">
        <v>61</v>
      </c>
      <c r="C168" s="105"/>
      <c r="D168" s="99"/>
      <c r="E168" s="714">
        <f>603337.32+43135.14+7834.56</f>
        <v>654307.02</v>
      </c>
      <c r="F168" s="714">
        <v>472119.86</v>
      </c>
      <c r="G168" s="99"/>
      <c r="H168" s="99"/>
      <c r="I168" s="99"/>
      <c r="J168" s="99"/>
      <c r="K168" s="87"/>
      <c r="L168" s="87"/>
      <c r="M168" s="105"/>
      <c r="N168" s="105"/>
      <c r="O168" s="105"/>
      <c r="P168" s="462"/>
      <c r="Q168" s="462"/>
      <c r="R168" s="462"/>
      <c r="S168" s="462"/>
      <c r="T168" s="462"/>
      <c r="U168" s="462"/>
    </row>
    <row r="169" spans="2:21" s="456" customFormat="1" ht="15">
      <c r="B169" s="455" t="s">
        <v>1013</v>
      </c>
      <c r="C169" s="105"/>
      <c r="D169" s="99"/>
      <c r="E169" s="714">
        <v>22934.86</v>
      </c>
      <c r="F169" s="714">
        <v>19996.66</v>
      </c>
      <c r="G169" s="99"/>
      <c r="H169" s="99"/>
      <c r="I169" s="99"/>
      <c r="J169" s="99"/>
      <c r="K169" s="87"/>
      <c r="L169" s="87"/>
      <c r="M169" s="105"/>
      <c r="N169" s="105"/>
      <c r="O169" s="105"/>
      <c r="P169" s="462"/>
      <c r="Q169" s="462"/>
      <c r="R169" s="462"/>
      <c r="S169" s="462"/>
      <c r="T169" s="462"/>
      <c r="U169" s="462"/>
    </row>
    <row r="170" spans="2:12" ht="15.75" thickBot="1">
      <c r="B170" s="96" t="s">
        <v>62</v>
      </c>
      <c r="D170" s="15">
        <f>SUM(D165:D169)</f>
        <v>796240.7899999999</v>
      </c>
      <c r="E170" s="716">
        <f>SUM(E165:E169)</f>
        <v>839785.1</v>
      </c>
      <c r="F170" s="716">
        <f>SUM(F165:F169)</f>
        <v>654659.74</v>
      </c>
      <c r="G170" s="101">
        <f>SUM(G165:G166)</f>
        <v>514748.54</v>
      </c>
      <c r="H170" s="101" t="e">
        <f>SUM(#REF!)</f>
        <v>#REF!</v>
      </c>
      <c r="I170" s="101" t="e">
        <f>SUM(#REF!)</f>
        <v>#REF!</v>
      </c>
      <c r="J170" s="15" t="e">
        <f>SUM(#REF!)</f>
        <v>#REF!</v>
      </c>
      <c r="K170" s="15" t="e">
        <f>SUM(#REF!)</f>
        <v>#REF!</v>
      </c>
      <c r="L170" s="15" t="e">
        <f>SUM(#REF!)</f>
        <v>#REF!</v>
      </c>
    </row>
    <row r="171" spans="5:12" ht="15.75" thickTop="1">
      <c r="E171" s="714"/>
      <c r="F171" s="714"/>
      <c r="K171" s="87"/>
      <c r="L171" s="87"/>
    </row>
    <row r="172" spans="5:12" ht="14.25" hidden="1">
      <c r="E172" s="714"/>
      <c r="F172" s="714"/>
      <c r="K172" s="87"/>
      <c r="L172" s="87"/>
    </row>
    <row r="173" spans="5:12" ht="14.25" hidden="1">
      <c r="E173" s="714"/>
      <c r="F173" s="714"/>
      <c r="K173" s="87"/>
      <c r="L173" s="87"/>
    </row>
    <row r="174" spans="2:12" ht="14.25" hidden="1">
      <c r="B174" s="96" t="s">
        <v>63</v>
      </c>
      <c r="E174" s="714"/>
      <c r="F174" s="714"/>
      <c r="K174" s="87"/>
      <c r="L174" s="87"/>
    </row>
    <row r="175" spans="5:12" ht="14.25" hidden="1">
      <c r="E175" s="714"/>
      <c r="F175" s="714"/>
      <c r="K175" s="87"/>
      <c r="L175" s="87"/>
    </row>
    <row r="176" spans="4:12" ht="14.25">
      <c r="D176" s="103"/>
      <c r="E176" s="714"/>
      <c r="F176" s="714"/>
      <c r="G176" s="103"/>
      <c r="H176" s="103"/>
      <c r="I176" s="103"/>
      <c r="J176" s="103"/>
      <c r="K176" s="87"/>
      <c r="L176" s="87"/>
    </row>
    <row r="177" spans="4:12" ht="14.25">
      <c r="D177" s="103"/>
      <c r="E177" s="714"/>
      <c r="F177" s="714"/>
      <c r="G177" s="103"/>
      <c r="H177" s="103"/>
      <c r="I177" s="103"/>
      <c r="J177" s="103"/>
      <c r="K177" s="87"/>
      <c r="L177" s="87"/>
    </row>
    <row r="178" spans="2:12" ht="14.25">
      <c r="B178" s="96" t="s">
        <v>66</v>
      </c>
      <c r="E178" s="714"/>
      <c r="F178" s="714"/>
      <c r="K178" s="87"/>
      <c r="L178" s="87"/>
    </row>
    <row r="179" spans="2:12" ht="14.25">
      <c r="B179" s="96"/>
      <c r="E179" s="714"/>
      <c r="F179" s="714"/>
      <c r="K179" s="87"/>
      <c r="L179" s="87"/>
    </row>
    <row r="180" spans="2:12" ht="14.25" hidden="1">
      <c r="B180" s="105" t="s">
        <v>67</v>
      </c>
      <c r="D180" s="103">
        <v>2946.78</v>
      </c>
      <c r="E180" s="714"/>
      <c r="F180" s="714"/>
      <c r="G180" s="103"/>
      <c r="H180" s="103"/>
      <c r="I180" s="87">
        <v>2946.78</v>
      </c>
      <c r="J180" s="87">
        <v>2946.78</v>
      </c>
      <c r="K180" s="87">
        <v>2946.78</v>
      </c>
      <c r="L180" s="87">
        <v>2946.78</v>
      </c>
    </row>
    <row r="181" spans="2:12" ht="14.25" hidden="1">
      <c r="B181" s="105" t="s">
        <v>68</v>
      </c>
      <c r="D181" s="103">
        <v>164923.22</v>
      </c>
      <c r="E181" s="714"/>
      <c r="F181" s="714"/>
      <c r="G181" s="103"/>
      <c r="H181" s="103"/>
      <c r="I181" s="87">
        <v>164923.22</v>
      </c>
      <c r="J181" s="87">
        <v>164923.22</v>
      </c>
      <c r="K181" s="87">
        <v>164923.22</v>
      </c>
      <c r="L181" s="87">
        <v>164923.22</v>
      </c>
    </row>
    <row r="182" spans="2:21" s="169" customFormat="1" ht="14.25" hidden="1">
      <c r="B182" s="105" t="s">
        <v>69</v>
      </c>
      <c r="C182" s="105"/>
      <c r="D182" s="103">
        <v>161485.57</v>
      </c>
      <c r="E182" s="714"/>
      <c r="F182" s="714"/>
      <c r="G182" s="103"/>
      <c r="H182" s="103"/>
      <c r="I182" s="87">
        <v>170919.34</v>
      </c>
      <c r="J182" s="87">
        <v>170919.34</v>
      </c>
      <c r="K182" s="87">
        <v>170919.34</v>
      </c>
      <c r="L182" s="87">
        <v>165023.23</v>
      </c>
      <c r="M182" s="105"/>
      <c r="N182" s="105"/>
      <c r="O182" s="105"/>
      <c r="P182" s="462"/>
      <c r="Q182" s="462"/>
      <c r="R182" s="462"/>
      <c r="S182" s="462"/>
      <c r="T182" s="462"/>
      <c r="U182" s="462"/>
    </row>
    <row r="183" spans="2:18" ht="14.25">
      <c r="B183" s="105" t="s">
        <v>258</v>
      </c>
      <c r="D183" s="196">
        <v>70753.2</v>
      </c>
      <c r="E183" s="717">
        <v>226896</v>
      </c>
      <c r="F183" s="717">
        <v>226896</v>
      </c>
      <c r="G183" s="187">
        <v>176758.53</v>
      </c>
      <c r="H183" s="87">
        <v>176758.53</v>
      </c>
      <c r="I183" s="87">
        <v>162805.63</v>
      </c>
      <c r="J183" s="87">
        <v>132109.28</v>
      </c>
      <c r="K183" s="87">
        <v>101412.93</v>
      </c>
      <c r="L183" s="87">
        <v>95516.82</v>
      </c>
      <c r="R183" s="550"/>
    </row>
    <row r="184" spans="2:21" s="456" customFormat="1" ht="14.25">
      <c r="B184" s="105" t="s">
        <v>1009</v>
      </c>
      <c r="C184" s="105"/>
      <c r="D184" s="187"/>
      <c r="E184" s="717">
        <v>2654.88</v>
      </c>
      <c r="F184" s="717"/>
      <c r="G184" s="187"/>
      <c r="H184" s="87"/>
      <c r="I184" s="87"/>
      <c r="J184" s="87"/>
      <c r="K184" s="87"/>
      <c r="L184" s="87"/>
      <c r="M184" s="105"/>
      <c r="N184" s="105"/>
      <c r="O184" s="105"/>
      <c r="P184" s="462"/>
      <c r="Q184" s="462"/>
      <c r="R184" s="550"/>
      <c r="S184" s="462"/>
      <c r="T184" s="462"/>
      <c r="U184" s="462"/>
    </row>
    <row r="185" spans="2:12" ht="15" thickBot="1">
      <c r="B185" s="96" t="s">
        <v>70</v>
      </c>
      <c r="D185" s="15">
        <f aca="true" t="shared" si="7" ref="D185:L185">SUM(D180:D183)</f>
        <v>400108.77</v>
      </c>
      <c r="E185" s="716">
        <f>SUM(E183:E184)</f>
        <v>229550.88</v>
      </c>
      <c r="F185" s="716">
        <f>SUM(F183)</f>
        <v>226896</v>
      </c>
      <c r="G185" s="15">
        <f>SUM(G183)</f>
        <v>176758.53</v>
      </c>
      <c r="H185" s="101">
        <f t="shared" si="7"/>
        <v>176758.53</v>
      </c>
      <c r="I185" s="101">
        <f t="shared" si="7"/>
        <v>501594.97</v>
      </c>
      <c r="J185" s="15">
        <f t="shared" si="7"/>
        <v>470898.62</v>
      </c>
      <c r="K185" s="15">
        <f t="shared" si="7"/>
        <v>440202.26999999996</v>
      </c>
      <c r="L185" s="15">
        <f t="shared" si="7"/>
        <v>428410.05</v>
      </c>
    </row>
    <row r="186" spans="5:12" ht="15" thickTop="1">
      <c r="E186" s="714"/>
      <c r="F186" s="714"/>
      <c r="K186" s="87"/>
      <c r="L186" s="87"/>
    </row>
    <row r="187" spans="5:12" ht="14.25">
      <c r="E187" s="714"/>
      <c r="F187" s="714"/>
      <c r="K187" s="87"/>
      <c r="L187" s="87"/>
    </row>
    <row r="188" spans="5:12" ht="14.25">
      <c r="E188" s="714"/>
      <c r="F188" s="714"/>
      <c r="K188" s="87"/>
      <c r="L188" s="87"/>
    </row>
    <row r="189" spans="2:12" ht="14.25">
      <c r="B189" s="96" t="s">
        <v>71</v>
      </c>
      <c r="E189" s="714"/>
      <c r="F189" s="714"/>
      <c r="K189" s="87"/>
      <c r="L189" s="87"/>
    </row>
    <row r="190" spans="5:12" ht="14.25">
      <c r="E190" s="714"/>
      <c r="F190" s="714"/>
      <c r="K190" s="87"/>
      <c r="L190" s="87"/>
    </row>
    <row r="191" spans="2:12" ht="14.25">
      <c r="B191" s="105" t="s">
        <v>72</v>
      </c>
      <c r="D191" s="103">
        <v>2701193.01</v>
      </c>
      <c r="E191" s="714">
        <v>1667814.34</v>
      </c>
      <c r="F191" s="714">
        <v>1501032.94</v>
      </c>
      <c r="G191" s="103">
        <v>1334251.54</v>
      </c>
      <c r="H191" s="87">
        <v>1167470.14</v>
      </c>
      <c r="I191" s="87">
        <v>2094464.16</v>
      </c>
      <c r="J191" s="87">
        <v>2094464.16</v>
      </c>
      <c r="K191" s="87">
        <v>2094464.16</v>
      </c>
      <c r="L191" s="87">
        <v>2720615.06</v>
      </c>
    </row>
    <row r="192" spans="2:21" s="456" customFormat="1" ht="14.25">
      <c r="B192" s="105" t="s">
        <v>997</v>
      </c>
      <c r="C192" s="105"/>
      <c r="D192" s="103"/>
      <c r="E192" s="714">
        <v>1533.9</v>
      </c>
      <c r="F192" s="714"/>
      <c r="G192" s="103"/>
      <c r="H192" s="87"/>
      <c r="I192" s="87"/>
      <c r="J192" s="87"/>
      <c r="K192" s="87"/>
      <c r="L192" s="87"/>
      <c r="M192" s="105"/>
      <c r="N192" s="105"/>
      <c r="O192" s="105"/>
      <c r="P192" s="462"/>
      <c r="Q192" s="462"/>
      <c r="R192" s="462"/>
      <c r="S192" s="462"/>
      <c r="T192" s="462"/>
      <c r="U192" s="462"/>
    </row>
    <row r="193" spans="2:12" ht="14.25">
      <c r="B193" s="105" t="s">
        <v>73</v>
      </c>
      <c r="D193" s="103">
        <v>2815725.19</v>
      </c>
      <c r="E193" s="714">
        <v>1288238.63</v>
      </c>
      <c r="F193" s="714">
        <v>1111999.19</v>
      </c>
      <c r="G193" s="103">
        <v>958646.71</v>
      </c>
      <c r="H193" s="87">
        <v>814121.21</v>
      </c>
      <c r="I193" s="87">
        <v>3810428.72</v>
      </c>
      <c r="J193" s="87">
        <v>3582012.05</v>
      </c>
      <c r="K193" s="87">
        <v>3353595.38</v>
      </c>
      <c r="L193" s="87">
        <v>3090919.65</v>
      </c>
    </row>
    <row r="194" spans="2:17" ht="14.25">
      <c r="B194" s="105" t="s">
        <v>74</v>
      </c>
      <c r="D194" s="103">
        <v>861431.93</v>
      </c>
      <c r="E194" s="714">
        <v>965181.39</v>
      </c>
      <c r="F194" s="714">
        <v>928361.99</v>
      </c>
      <c r="G194" s="103">
        <v>928361.99</v>
      </c>
      <c r="H194" s="103">
        <v>928361.99</v>
      </c>
      <c r="I194" s="87">
        <v>920925.29</v>
      </c>
      <c r="J194" s="87">
        <v>906051.95</v>
      </c>
      <c r="K194" s="87">
        <v>891178.61</v>
      </c>
      <c r="L194" s="87"/>
      <c r="Q194" s="550">
        <f>+F194-G194</f>
        <v>0</v>
      </c>
    </row>
    <row r="195" spans="4:12" ht="14.25" hidden="1">
      <c r="D195" s="103"/>
      <c r="E195" s="714"/>
      <c r="F195" s="714"/>
      <c r="G195" s="103"/>
      <c r="H195" s="103"/>
      <c r="I195" s="87"/>
      <c r="J195" s="87"/>
      <c r="K195" s="87"/>
      <c r="L195" s="87"/>
    </row>
    <row r="196" spans="4:12" ht="14.25">
      <c r="D196" s="196"/>
      <c r="E196" s="717"/>
      <c r="F196" s="717"/>
      <c r="G196" s="187"/>
      <c r="H196" s="87"/>
      <c r="I196" s="87"/>
      <c r="J196" s="87"/>
      <c r="K196" s="87"/>
      <c r="L196" s="87"/>
    </row>
    <row r="197" spans="2:19" ht="15" thickBot="1">
      <c r="B197" s="96" t="s">
        <v>75</v>
      </c>
      <c r="D197" s="15">
        <f>SUM(D191:D196)</f>
        <v>6378350.129999999</v>
      </c>
      <c r="E197" s="716">
        <f>SUM(E191:E196)</f>
        <v>3922768.2600000002</v>
      </c>
      <c r="F197" s="716">
        <f>SUM(F191:F196)</f>
        <v>3541394.12</v>
      </c>
      <c r="G197" s="15">
        <f>SUM(G191:G196)</f>
        <v>3221260.24</v>
      </c>
      <c r="H197" s="101">
        <f>SUM(H191:H194)</f>
        <v>2909953.34</v>
      </c>
      <c r="I197" s="101">
        <f>SUM(I191:I196)</f>
        <v>6825818.17</v>
      </c>
      <c r="J197" s="15">
        <f>SUM(J191:J196)</f>
        <v>6582528.16</v>
      </c>
      <c r="K197" s="15">
        <f>SUM(K191:K196)</f>
        <v>6339238.15</v>
      </c>
      <c r="L197" s="15">
        <f>SUM(L191:L196)</f>
        <v>5811534.71</v>
      </c>
      <c r="R197" s="550"/>
      <c r="S197" s="405"/>
    </row>
    <row r="198" spans="4:12" ht="15" thickTop="1">
      <c r="D198" s="103"/>
      <c r="E198" s="714"/>
      <c r="F198" s="714"/>
      <c r="G198" s="103"/>
      <c r="H198" s="103"/>
      <c r="I198" s="103"/>
      <c r="J198" s="103"/>
      <c r="K198" s="87"/>
      <c r="L198" s="87"/>
    </row>
    <row r="199" spans="2:12" ht="14.25">
      <c r="B199" s="192"/>
      <c r="E199" s="714"/>
      <c r="F199" s="714"/>
      <c r="K199" s="87"/>
      <c r="L199" s="87"/>
    </row>
    <row r="200" spans="5:12" ht="14.25">
      <c r="E200" s="714"/>
      <c r="F200" s="714"/>
      <c r="K200" s="87"/>
      <c r="L200" s="87"/>
    </row>
    <row r="201" spans="2:12" ht="14.25">
      <c r="B201" s="96" t="s">
        <v>76</v>
      </c>
      <c r="E201" s="714"/>
      <c r="F201" s="714"/>
      <c r="K201" s="87"/>
      <c r="L201" s="87"/>
    </row>
    <row r="202" spans="5:12" ht="14.25">
      <c r="E202" s="714"/>
      <c r="F202" s="714"/>
      <c r="K202" s="87"/>
      <c r="L202" s="87"/>
    </row>
    <row r="203" spans="2:17" ht="14.25">
      <c r="B203" s="105" t="s">
        <v>77</v>
      </c>
      <c r="D203" s="103">
        <v>22854953.15</v>
      </c>
      <c r="E203" s="714">
        <v>29929300.73</v>
      </c>
      <c r="F203" s="714">
        <v>27499660.97</v>
      </c>
      <c r="G203" s="103">
        <v>25036905.79</v>
      </c>
      <c r="H203" s="103">
        <v>30081970.72</v>
      </c>
      <c r="I203" s="87">
        <v>29028810.35</v>
      </c>
      <c r="J203" s="87">
        <f>28477609.99+2588.25</f>
        <v>28480198.24</v>
      </c>
      <c r="K203" s="87">
        <v>27926409.63</v>
      </c>
      <c r="L203" s="87">
        <v>24588754.29</v>
      </c>
      <c r="Q203" s="550">
        <f>+F203-G203</f>
        <v>2462755.1799999997</v>
      </c>
    </row>
    <row r="204" spans="2:17" ht="14.25">
      <c r="B204" s="105" t="s">
        <v>78</v>
      </c>
      <c r="D204" s="103">
        <f>700954.05</f>
        <v>700954.05</v>
      </c>
      <c r="E204" s="714">
        <v>700954.05</v>
      </c>
      <c r="F204" s="714">
        <v>700954.05</v>
      </c>
      <c r="G204" s="103">
        <v>700954.05</v>
      </c>
      <c r="H204" s="103">
        <v>700954.05</v>
      </c>
      <c r="I204" s="87">
        <v>700954.05</v>
      </c>
      <c r="J204" s="87">
        <v>700954.05</v>
      </c>
      <c r="K204" s="87">
        <v>700954.05</v>
      </c>
      <c r="L204" s="87">
        <v>700954.05</v>
      </c>
      <c r="Q204" s="550">
        <f>+F204-G204</f>
        <v>0</v>
      </c>
    </row>
    <row r="205" spans="2:17" ht="14.25">
      <c r="B205" s="105" t="s">
        <v>615</v>
      </c>
      <c r="D205" s="103"/>
      <c r="E205" s="714">
        <v>16268.3</v>
      </c>
      <c r="F205" s="714">
        <v>14789.4</v>
      </c>
      <c r="G205" s="103">
        <v>11240.04</v>
      </c>
      <c r="H205" s="103">
        <v>7690.68</v>
      </c>
      <c r="I205" s="87">
        <v>5176.5</v>
      </c>
      <c r="J205" s="87"/>
      <c r="K205" s="87"/>
      <c r="L205" s="87"/>
      <c r="Q205" s="550">
        <f>+F205-G205</f>
        <v>3549.3599999999988</v>
      </c>
    </row>
    <row r="206" spans="5:6" ht="14.25">
      <c r="E206" s="714"/>
      <c r="F206" s="714"/>
    </row>
    <row r="207" spans="2:12" ht="15" thickBot="1">
      <c r="B207" s="96" t="s">
        <v>79</v>
      </c>
      <c r="D207" s="15">
        <f aca="true" t="shared" si="8" ref="D207:L207">SUM(D203:D206)</f>
        <v>23555907.2</v>
      </c>
      <c r="E207" s="716">
        <f>SUM(E203:E206)</f>
        <v>30646523.080000002</v>
      </c>
      <c r="F207" s="716">
        <f>SUM(F203:F206)</f>
        <v>28215404.419999998</v>
      </c>
      <c r="G207" s="15">
        <f>SUM(G203:G206)</f>
        <v>25749099.88</v>
      </c>
      <c r="H207" s="101">
        <f t="shared" si="8"/>
        <v>30790615.45</v>
      </c>
      <c r="I207" s="101">
        <f t="shared" si="8"/>
        <v>29734940.900000002</v>
      </c>
      <c r="J207" s="15">
        <f t="shared" si="8"/>
        <v>29181152.29</v>
      </c>
      <c r="K207" s="15">
        <f t="shared" si="8"/>
        <v>28627363.68</v>
      </c>
      <c r="L207" s="15">
        <f t="shared" si="8"/>
        <v>25289708.34</v>
      </c>
    </row>
    <row r="208" spans="5:11" ht="15" thickBot="1" thickTop="1">
      <c r="E208" s="714"/>
      <c r="F208" s="714"/>
      <c r="K208" s="105"/>
    </row>
    <row r="209" spans="5:16" ht="15" thickBot="1">
      <c r="E209" s="719">
        <f>+E22+E37+E52+E68+E75+E81+E92+E105+E116+E127+E138+E144+E148+E159+E170+E185+E197+E207</f>
        <v>99578259.53</v>
      </c>
      <c r="F209" s="802">
        <f>+F22+F37+F52+F68+F75+F81+F92+F105+F116+F127+F138+F144+F148+F159+F170+F185+F197+F207</f>
        <v>88371412.9</v>
      </c>
      <c r="G209" s="213">
        <f>+G22+G37+G52+G68+G75+G81+G92+G105+G116+G127+G138+G144+G148+G159+G170+G185+G197+G207</f>
        <v>78445037.68</v>
      </c>
      <c r="H209" s="213" t="e">
        <f>+H22+H37+H52+H68+H75+H81+H92+H105+H116+H127+H138+H144+H148+H159+H170+H185+H197+H207</f>
        <v>#REF!</v>
      </c>
      <c r="I209" s="214" t="e">
        <f>+I22+I37+I52+I68+I92+I105+I116+I127+I138+I159+I170+I185+I197+I207+I75+I81+I144</f>
        <v>#REF!</v>
      </c>
      <c r="J209" s="106" t="e">
        <f>+J22+J37+J52+J68+J92+J105+J116+J127+J138+J159+J170+J185+J197+J207+J75+J81+J144</f>
        <v>#REF!</v>
      </c>
      <c r="K209" s="106" t="e">
        <f>+K22+K37+K52+K68+K92+K105+K116+K127+K138+K159+K170+K185+K197+K207</f>
        <v>#REF!</v>
      </c>
      <c r="P209" s="405"/>
    </row>
    <row r="210" spans="8:11" ht="14.25">
      <c r="H210" s="212" t="e">
        <f>+H209+'[2]Balanza de Comprobación 2020'!$I$258</f>
        <v>#REF!</v>
      </c>
      <c r="I210" s="87"/>
      <c r="J210" s="87"/>
      <c r="K210" s="105"/>
    </row>
    <row r="211" spans="7:11" ht="14.25">
      <c r="G211" s="222">
        <f>+G209+'[3]Export2'!$I$207</f>
        <v>0</v>
      </c>
      <c r="K211" s="105"/>
    </row>
    <row r="212" spans="8:11" ht="14.25">
      <c r="H212" s="106"/>
      <c r="K212" s="105"/>
    </row>
    <row r="213" ht="14.25">
      <c r="K213" s="105"/>
    </row>
    <row r="214" ht="14.25">
      <c r="K214" s="105"/>
    </row>
    <row r="215" ht="14.25">
      <c r="K215" s="105"/>
    </row>
    <row r="216" ht="14.25">
      <c r="K216" s="105"/>
    </row>
    <row r="217" ht="14.25">
      <c r="K217" s="105"/>
    </row>
    <row r="218" ht="14.25">
      <c r="K218" s="105"/>
    </row>
    <row r="219" ht="14.25">
      <c r="K219" s="105"/>
    </row>
  </sheetData>
  <sheetProtection/>
  <mergeCells count="3">
    <mergeCell ref="B1:M1"/>
    <mergeCell ref="B2:M2"/>
    <mergeCell ref="B3:M3"/>
  </mergeCells>
  <printOptions/>
  <pageMargins left="0.7086614173228347" right="0.7086614173228347" top="0.7480314960629921" bottom="0.7480314960629921" header="0.31496062992125984" footer="0.31496062992125984"/>
  <pageSetup horizontalDpi="600" verticalDpi="600" orientation="portrait" scale="78" r:id="rId4"/>
  <headerFooter>
    <oddFooter>&amp;C&amp;A&amp;RPágina &amp;P</oddFooter>
  </headerFooter>
  <rowBreaks count="4" manualBreakCount="4">
    <brk id="53" max="255" man="1"/>
    <brk id="106" max="255" man="1"/>
    <brk id="149" max="255" man="1"/>
    <brk id="209" max="255" man="1"/>
  </rowBreaks>
  <ignoredErrors>
    <ignoredError sqref="H22" formulaRange="1"/>
    <ignoredError sqref="H197"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Melbi Santos</dc:creator>
  <cp:keywords/>
  <dc:description/>
  <cp:lastModifiedBy>Yenny Acosta</cp:lastModifiedBy>
  <cp:lastPrinted>2024-01-23T18:17:51Z</cp:lastPrinted>
  <dcterms:created xsi:type="dcterms:W3CDTF">2013-01-30T15:16:21Z</dcterms:created>
  <dcterms:modified xsi:type="dcterms:W3CDTF">2024-01-31T16:07:47Z</dcterms:modified>
  <cp:category/>
  <cp:version/>
  <cp:contentType/>
  <cp:contentStatus/>
</cp:coreProperties>
</file>